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Plan1" sheetId="1" r:id="rId4"/>
    <sheet state="hidden" name="Plan2" sheetId="2" r:id="rId5"/>
    <sheet state="hidden" name="Plan3" sheetId="3" r:id="rId6"/>
    <sheet state="visible" name="GEOUTM" sheetId="4" r:id="rId7"/>
  </sheets>
  <definedNames/>
  <calcPr/>
</workbook>
</file>

<file path=xl/sharedStrings.xml><?xml version="1.0" encoding="utf-8"?>
<sst xmlns="http://schemas.openxmlformats.org/spreadsheetml/2006/main" count="291" uniqueCount="177">
  <si>
    <t>Datum</t>
  </si>
  <si>
    <t>1 - Córrego Alegre</t>
  </si>
  <si>
    <t>SinalLat</t>
  </si>
  <si>
    <t>SinalLong</t>
  </si>
  <si>
    <t>2 - SAD 69</t>
  </si>
  <si>
    <t>Transformação de Coordenadas de Geodésica para TM</t>
  </si>
  <si>
    <t>Tipo  =</t>
  </si>
  <si>
    <t xml:space="preserve">Elipsóide </t>
  </si>
  <si>
    <t>º</t>
  </si>
  <si>
    <t>`</t>
  </si>
  <si>
    <t>"</t>
  </si>
  <si>
    <t>º (decimais)</t>
  </si>
  <si>
    <t>Radianos</t>
  </si>
  <si>
    <t>a =</t>
  </si>
  <si>
    <r>
      <rPr>
        <rFont val="Arial"/>
        <color theme="1"/>
        <sz val="10.0"/>
      </rPr>
      <t xml:space="preserve">Latitude </t>
    </r>
    <r>
      <rPr>
        <rFont val="Symbol"/>
        <color theme="1"/>
        <sz val="10.0"/>
      </rPr>
      <t>(f)</t>
    </r>
    <r>
      <rPr>
        <rFont val="Arial"/>
        <color theme="1"/>
        <sz val="10.0"/>
      </rPr>
      <t xml:space="preserve"> =</t>
    </r>
  </si>
  <si>
    <t>b =</t>
  </si>
  <si>
    <r>
      <rPr>
        <rFont val="Arial"/>
        <color theme="1"/>
        <sz val="10.0"/>
      </rPr>
      <t>Longitude</t>
    </r>
    <r>
      <rPr>
        <rFont val="Symbol"/>
        <color theme="1"/>
        <sz val="10.0"/>
      </rPr>
      <t xml:space="preserve"> (l)</t>
    </r>
    <r>
      <rPr>
        <rFont val="Arial"/>
        <color theme="1"/>
        <sz val="10.0"/>
      </rPr>
      <t xml:space="preserve"> = </t>
    </r>
  </si>
  <si>
    <r>
      <rPr>
        <rFont val="Noto Sans Symbols"/>
        <color theme="1"/>
        <sz val="10.0"/>
      </rPr>
      <t xml:space="preserve">a </t>
    </r>
    <r>
      <rPr>
        <rFont val="Arial"/>
        <color theme="1"/>
        <sz val="10.0"/>
      </rPr>
      <t>(1/...  =</t>
    </r>
  </si>
  <si>
    <t>e`2 =</t>
  </si>
  <si>
    <t>B =</t>
  </si>
  <si>
    <t>m</t>
  </si>
  <si>
    <t>c =</t>
  </si>
  <si>
    <t>Fuso calculado =</t>
  </si>
  <si>
    <t>A0 =</t>
  </si>
  <si>
    <t>UTM</t>
  </si>
  <si>
    <t>LTM</t>
  </si>
  <si>
    <t>RTM</t>
  </si>
  <si>
    <t>A1 =</t>
  </si>
  <si>
    <t>Fuso =</t>
  </si>
  <si>
    <t>MC</t>
  </si>
  <si>
    <t>A2 =</t>
  </si>
  <si>
    <t>Meridiano Central =</t>
  </si>
  <si>
    <t>A4 =</t>
  </si>
  <si>
    <t>k0  =</t>
  </si>
  <si>
    <t>A6 =</t>
  </si>
  <si>
    <t>A8 =</t>
  </si>
  <si>
    <r>
      <rPr>
        <rFont val="caslon bd bt"/>
        <color theme="1"/>
        <sz val="10.0"/>
      </rPr>
      <t>l</t>
    </r>
    <r>
      <rPr>
        <rFont val="Arial"/>
        <color theme="1"/>
        <sz val="10.0"/>
      </rPr>
      <t xml:space="preserve"> =</t>
    </r>
  </si>
  <si>
    <t>a1 =</t>
  </si>
  <si>
    <t xml:space="preserve">X(m) = </t>
  </si>
  <si>
    <t>a2 =</t>
  </si>
  <si>
    <t xml:space="preserve">Y(m) = </t>
  </si>
  <si>
    <t>a3 =</t>
  </si>
  <si>
    <t>a4 =</t>
  </si>
  <si>
    <t>E(m) =</t>
  </si>
  <si>
    <t>a5 =</t>
  </si>
  <si>
    <t>N(m) =</t>
  </si>
  <si>
    <t>a6 =</t>
  </si>
  <si>
    <t>k =</t>
  </si>
  <si>
    <t>a7 =</t>
  </si>
  <si>
    <t>a8 =</t>
  </si>
  <si>
    <t>a9 =</t>
  </si>
  <si>
    <t>Convergência Meridiana</t>
  </si>
  <si>
    <t>a10 =</t>
  </si>
  <si>
    <t>a11 =</t>
  </si>
  <si>
    <r>
      <rPr>
        <rFont val="Noto Sans Symbols"/>
        <color theme="1"/>
        <sz val="12.0"/>
      </rPr>
      <t>g</t>
    </r>
    <r>
      <rPr>
        <rFont val="Arial"/>
        <color theme="1"/>
        <sz val="10.0"/>
      </rPr>
      <t xml:space="preserve"> =</t>
    </r>
  </si>
  <si>
    <t>Elipsóides</t>
  </si>
  <si>
    <t>Hayford (Córrego Alegre)</t>
  </si>
  <si>
    <t>Tipo =</t>
  </si>
  <si>
    <t>l=</t>
  </si>
  <si>
    <t>Ref. 67 ( Chuá/SAD 69)</t>
  </si>
  <si>
    <t>WGS 84</t>
  </si>
  <si>
    <r>
      <rPr>
        <rFont val="caslon bd bt"/>
        <color theme="1"/>
        <sz val="10.0"/>
      </rPr>
      <t>l</t>
    </r>
    <r>
      <rPr>
        <rFont val="Arial"/>
        <color theme="1"/>
        <sz val="10.0"/>
      </rPr>
      <t xml:space="preserve"> =</t>
    </r>
  </si>
  <si>
    <t>SIRGAS 2000</t>
  </si>
  <si>
    <r>
      <rPr>
        <rFont val="Noto Sans Symbols"/>
        <color theme="1"/>
        <sz val="12.0"/>
      </rPr>
      <t>g</t>
    </r>
    <r>
      <rPr>
        <rFont val="Arial"/>
        <color theme="1"/>
        <sz val="10.0"/>
      </rPr>
      <t xml:space="preserve"> =</t>
    </r>
  </si>
  <si>
    <t>hemisfério</t>
  </si>
  <si>
    <t xml:space="preserve">Transformação de Coordenadas TM  para Geodésica </t>
  </si>
  <si>
    <t>TM</t>
  </si>
  <si>
    <t>E (m)  =</t>
  </si>
  <si>
    <t>Y (m) =</t>
  </si>
  <si>
    <t>N (m)  =</t>
  </si>
  <si>
    <t>X (m) =</t>
  </si>
  <si>
    <t>hem.(n/s) =</t>
  </si>
  <si>
    <r>
      <rPr>
        <rFont val="Noto Sans Symbols"/>
        <color theme="1"/>
        <sz val="10.0"/>
      </rPr>
      <t xml:space="preserve">a </t>
    </r>
    <r>
      <rPr>
        <rFont val="Arial"/>
        <color theme="1"/>
        <sz val="10.0"/>
      </rPr>
      <t>(1/...  =</t>
    </r>
  </si>
  <si>
    <t>MC =</t>
  </si>
  <si>
    <t>Tipo</t>
  </si>
  <si>
    <t>Se  UTM =</t>
  </si>
  <si>
    <t>LTM =</t>
  </si>
  <si>
    <t>RTM =</t>
  </si>
  <si>
    <t>Graus</t>
  </si>
  <si>
    <r>
      <rPr>
        <rFont val="Arial"/>
        <b/>
        <color theme="1"/>
        <sz val="10.0"/>
      </rPr>
      <t>X - B</t>
    </r>
    <r>
      <rPr>
        <rFont val="Arial"/>
        <b val="0"/>
        <color theme="1"/>
        <sz val="10.0"/>
      </rPr>
      <t xml:space="preserve"> (m)</t>
    </r>
  </si>
  <si>
    <r>
      <rPr>
        <rFont val="Noto Sans Symbols"/>
        <color theme="1"/>
        <sz val="14.0"/>
      </rPr>
      <t>f</t>
    </r>
    <r>
      <rPr>
        <rFont val="Arial"/>
        <color theme="1"/>
        <sz val="10.0"/>
      </rPr>
      <t xml:space="preserve"> 1 (inicial) =</t>
    </r>
  </si>
  <si>
    <t>P1 =</t>
  </si>
  <si>
    <t>b7 =</t>
  </si>
  <si>
    <t>B1 (m)  =</t>
  </si>
  <si>
    <t>b9 =</t>
  </si>
  <si>
    <r>
      <rPr>
        <rFont val="Noto Sans Symbols"/>
        <color theme="1"/>
        <sz val="14.0"/>
      </rPr>
      <t>f</t>
    </r>
    <r>
      <rPr>
        <rFont val="Arial"/>
        <color theme="1"/>
        <sz val="10.0"/>
      </rPr>
      <t xml:space="preserve"> 1 =</t>
    </r>
  </si>
  <si>
    <t>b11 =</t>
  </si>
  <si>
    <r>
      <rPr>
        <rFont val="Noto Sans Symbols"/>
        <color theme="1"/>
        <sz val="14.0"/>
      </rPr>
      <t>f</t>
    </r>
    <r>
      <rPr>
        <rFont val="Arial"/>
        <color theme="1"/>
        <sz val="10.0"/>
      </rPr>
      <t xml:space="preserve"> 1 =</t>
    </r>
  </si>
  <si>
    <t>b1 =</t>
  </si>
  <si>
    <r>
      <rPr>
        <rFont val="Noto Sans Symbols"/>
        <color theme="1"/>
        <sz val="12.0"/>
      </rPr>
      <t>g</t>
    </r>
    <r>
      <rPr>
        <rFont val="Arial"/>
        <color theme="1"/>
        <sz val="10.0"/>
      </rPr>
      <t xml:space="preserve"> =</t>
    </r>
  </si>
  <si>
    <t>b2 =</t>
  </si>
  <si>
    <r>
      <rPr>
        <rFont val="Noto Sans Symbols"/>
        <color theme="1"/>
        <sz val="14.0"/>
      </rPr>
      <t>f</t>
    </r>
    <r>
      <rPr>
        <rFont val="Arial"/>
        <color theme="1"/>
        <sz val="10.0"/>
      </rPr>
      <t xml:space="preserve"> 1 =</t>
    </r>
  </si>
  <si>
    <t>R1 =</t>
  </si>
  <si>
    <t>b3 =</t>
  </si>
  <si>
    <t>b8 =</t>
  </si>
  <si>
    <t>b4 =</t>
  </si>
  <si>
    <r>
      <rPr>
        <rFont val="Noto Sans Symbols"/>
        <color theme="1"/>
        <sz val="14.0"/>
      </rPr>
      <t>f</t>
    </r>
    <r>
      <rPr>
        <rFont val="Arial"/>
        <color theme="1"/>
        <sz val="10.0"/>
      </rPr>
      <t xml:space="preserve"> 1 =</t>
    </r>
  </si>
  <si>
    <t>b10 =</t>
  </si>
  <si>
    <t>b5 =</t>
  </si>
  <si>
    <t>k0 =</t>
  </si>
  <si>
    <t>b6 =</t>
  </si>
  <si>
    <r>
      <rPr>
        <rFont val="Noto Sans Symbols"/>
        <color theme="1"/>
        <sz val="14.0"/>
      </rPr>
      <t>f</t>
    </r>
    <r>
      <rPr>
        <rFont val="Arial"/>
        <color theme="1"/>
        <sz val="10.0"/>
      </rPr>
      <t xml:space="preserve"> 1 =</t>
    </r>
  </si>
  <si>
    <t>K =</t>
  </si>
  <si>
    <r>
      <rPr>
        <rFont val="Noto Sans Symbols"/>
        <color theme="1"/>
        <sz val="14.0"/>
      </rPr>
      <t>f</t>
    </r>
    <r>
      <rPr>
        <rFont val="Arial"/>
        <color theme="1"/>
        <sz val="10.0"/>
      </rPr>
      <t xml:space="preserve"> 1 =</t>
    </r>
  </si>
  <si>
    <r>
      <rPr>
        <rFont val="Noto Sans Symbols"/>
        <color theme="1"/>
        <sz val="14.0"/>
      </rPr>
      <t>f</t>
    </r>
    <r>
      <rPr>
        <rFont val="Arial"/>
        <color theme="1"/>
        <sz val="10.0"/>
      </rPr>
      <t xml:space="preserve">  =</t>
    </r>
  </si>
  <si>
    <r>
      <rPr>
        <rFont val="Noto Sans Symbols"/>
        <color theme="1"/>
        <sz val="14.0"/>
      </rPr>
      <t>l</t>
    </r>
    <r>
      <rPr>
        <rFont val="Arial"/>
        <color theme="1"/>
        <sz val="10.0"/>
      </rPr>
      <t xml:space="preserve"> =</t>
    </r>
  </si>
  <si>
    <t>Transformação</t>
  </si>
  <si>
    <r>
      <rPr>
        <rFont val="Arial"/>
        <color theme="1"/>
        <sz val="10.0"/>
      </rPr>
      <t xml:space="preserve">Latitude </t>
    </r>
    <r>
      <rPr>
        <rFont val="Symbol"/>
        <color theme="1"/>
        <sz val="10.0"/>
      </rPr>
      <t>(f)</t>
    </r>
    <r>
      <rPr>
        <rFont val="Arial"/>
        <color theme="1"/>
        <sz val="10.0"/>
      </rPr>
      <t xml:space="preserve"> =</t>
    </r>
  </si>
  <si>
    <r>
      <rPr>
        <rFont val="Arial"/>
        <color theme="1"/>
        <sz val="10.0"/>
      </rPr>
      <t>Longitude</t>
    </r>
    <r>
      <rPr>
        <rFont val="Symbol"/>
        <color theme="1"/>
        <sz val="10.0"/>
      </rPr>
      <t xml:space="preserve"> (l)</t>
    </r>
    <r>
      <rPr>
        <rFont val="Arial"/>
        <color theme="1"/>
        <sz val="10.0"/>
      </rPr>
      <t xml:space="preserve"> = </t>
    </r>
  </si>
  <si>
    <t>Ref. 67 ( SAD 69)</t>
  </si>
  <si>
    <t>Altitude (h) =</t>
  </si>
  <si>
    <t>N1 =</t>
  </si>
  <si>
    <t>WGS84</t>
  </si>
  <si>
    <t>(e2)1 =</t>
  </si>
  <si>
    <r>
      <rPr>
        <rFont val="Noto Sans Symbols"/>
        <color theme="1"/>
        <sz val="10.0"/>
      </rPr>
      <t>D</t>
    </r>
    <r>
      <rPr>
        <rFont val="Arial"/>
        <color theme="1"/>
        <sz val="10.0"/>
      </rPr>
      <t>X =</t>
    </r>
  </si>
  <si>
    <t>X1 =</t>
  </si>
  <si>
    <t>X2 =</t>
  </si>
  <si>
    <r>
      <rPr>
        <rFont val="Noto Sans Symbols"/>
        <color theme="1"/>
        <sz val="10.0"/>
      </rPr>
      <t>D</t>
    </r>
    <r>
      <rPr>
        <rFont val="Arial"/>
        <color theme="1"/>
        <sz val="10.0"/>
      </rPr>
      <t>Y =</t>
    </r>
  </si>
  <si>
    <t>Y1 =</t>
  </si>
  <si>
    <t>Y2 =</t>
  </si>
  <si>
    <r>
      <rPr>
        <rFont val="Noto Sans Symbols"/>
        <color theme="1"/>
        <sz val="10.0"/>
      </rPr>
      <t>D</t>
    </r>
    <r>
      <rPr>
        <rFont val="Arial"/>
        <color theme="1"/>
        <sz val="10.0"/>
      </rPr>
      <t>Z =</t>
    </r>
  </si>
  <si>
    <t>Z1 =</t>
  </si>
  <si>
    <t>Z2 =</t>
  </si>
  <si>
    <t>(e2)2 =</t>
  </si>
  <si>
    <t>tag u =</t>
  </si>
  <si>
    <t>N2 =</t>
  </si>
  <si>
    <t>(e'2)2 =</t>
  </si>
  <si>
    <t>sen u =</t>
  </si>
  <si>
    <t>cos u =</t>
  </si>
  <si>
    <t>f2 =</t>
  </si>
  <si>
    <t>l2 =</t>
  </si>
  <si>
    <t>h2 =</t>
  </si>
  <si>
    <t>TRANSFORMAÇÃO    DE     COORDENADAS    GEOGRÁFICAS     EM    TM    E    VICE-VERSA</t>
  </si>
  <si>
    <t>TRANSFORMAÇÃO  DE  DATUM</t>
  </si>
  <si>
    <t>CENTRO FEDERAL DE EDUCAÇÃO</t>
  </si>
  <si>
    <t xml:space="preserve"> TECNOLÓGICA DE GOIÁS</t>
  </si>
  <si>
    <t xml:space="preserve">Coordenação de Geomática </t>
  </si>
  <si>
    <t xml:space="preserve">   Programado  por  Nilton  Ricetti  Xavier  de  Nazareno  -  nrxn@cefetgo.br</t>
  </si>
  <si>
    <t xml:space="preserve">   Colaboração de Fábio Carneiro Lobo</t>
  </si>
  <si>
    <t>1 - Geográfica =&gt; TM.</t>
  </si>
  <si>
    <t xml:space="preserve"> ' </t>
  </si>
  <si>
    <t>Hemisf.</t>
  </si>
  <si>
    <r>
      <rPr>
        <rFont val="Arial"/>
        <b/>
        <color theme="1"/>
        <sz val="10.0"/>
      </rPr>
      <t xml:space="preserve">Latitude    </t>
    </r>
    <r>
      <rPr>
        <rFont val="Symbol"/>
        <b val="0"/>
        <color theme="1"/>
        <sz val="10.0"/>
      </rPr>
      <t>(f)</t>
    </r>
    <r>
      <rPr>
        <rFont val="Arial"/>
        <b/>
        <color theme="1"/>
        <sz val="10.0"/>
      </rPr>
      <t xml:space="preserve"> =</t>
    </r>
  </si>
  <si>
    <t>E (m) =</t>
  </si>
  <si>
    <t>Hemifério</t>
  </si>
  <si>
    <r>
      <rPr>
        <rFont val="Arial"/>
        <b/>
        <color theme="1"/>
        <sz val="10.0"/>
      </rPr>
      <t>Longitude (</t>
    </r>
    <r>
      <rPr>
        <rFont val="Symbol"/>
        <b val="0"/>
        <color theme="1"/>
        <sz val="10.0"/>
      </rPr>
      <t>l</t>
    </r>
    <r>
      <rPr>
        <rFont val="Arial"/>
        <b/>
        <color theme="1"/>
        <sz val="10.0"/>
      </rPr>
      <t>) =</t>
    </r>
  </si>
  <si>
    <t>N (m) =</t>
  </si>
  <si>
    <r>
      <rPr>
        <rFont val="Noto Sans Symbols"/>
        <color theme="1"/>
        <sz val="12.0"/>
      </rPr>
      <t xml:space="preserve">f </t>
    </r>
    <r>
      <rPr>
        <rFont val="Arial"/>
        <color theme="1"/>
        <sz val="12.0"/>
      </rPr>
      <t xml:space="preserve">  =</t>
    </r>
  </si>
  <si>
    <r>
      <rPr>
        <rFont val="Noto Sans Symbols"/>
        <color theme="1"/>
        <sz val="12.0"/>
      </rPr>
      <t>l</t>
    </r>
    <r>
      <rPr>
        <rFont val="Arial"/>
        <color theme="1"/>
        <sz val="12.0"/>
      </rPr>
      <t xml:space="preserve">   =</t>
    </r>
  </si>
  <si>
    <t>Sinal</t>
  </si>
  <si>
    <t>M.Central =</t>
  </si>
  <si>
    <t>h   =</t>
  </si>
  <si>
    <r>
      <rPr>
        <rFont val="Noto Sans Symbols"/>
        <b/>
        <color theme="1"/>
        <sz val="12.0"/>
      </rPr>
      <t>g</t>
    </r>
    <r>
      <rPr>
        <rFont val="Symbol"/>
        <b val="0"/>
        <color theme="1"/>
        <sz val="10.0"/>
      </rPr>
      <t xml:space="preserve"> =</t>
    </r>
  </si>
  <si>
    <r>
      <rPr>
        <rFont val="Arial"/>
        <b/>
        <i/>
        <color theme="1"/>
        <sz val="10.0"/>
      </rPr>
      <t>UTM</t>
    </r>
    <r>
      <rPr>
        <rFont val="Arial"/>
        <b val="0"/>
        <i val="0"/>
        <color theme="1"/>
        <sz val="10.0"/>
      </rPr>
      <t xml:space="preserve"> "fora do fuso"</t>
    </r>
  </si>
  <si>
    <r>
      <rPr>
        <rFont val="Noto Sans Symbols"/>
        <b/>
        <color theme="1"/>
        <sz val="12.0"/>
      </rPr>
      <t>g</t>
    </r>
    <r>
      <rPr>
        <rFont val="Symbol"/>
        <b val="0"/>
        <color theme="1"/>
        <sz val="10.0"/>
      </rPr>
      <t xml:space="preserve"> =</t>
    </r>
  </si>
  <si>
    <t xml:space="preserve">2 - TM =&gt; Geográfica. </t>
  </si>
  <si>
    <r>
      <rPr>
        <rFont val="Arial"/>
        <b/>
        <color theme="1"/>
        <sz val="10.0"/>
      </rPr>
      <t xml:space="preserve">Latitude    </t>
    </r>
    <r>
      <rPr>
        <rFont val="Symbol"/>
        <b val="0"/>
        <color theme="1"/>
        <sz val="10.0"/>
      </rPr>
      <t>(f)</t>
    </r>
    <r>
      <rPr>
        <rFont val="Arial"/>
        <b/>
        <color theme="1"/>
        <sz val="10.0"/>
      </rPr>
      <t xml:space="preserve"> =</t>
    </r>
  </si>
  <si>
    <r>
      <rPr>
        <rFont val="Noto Sans Symbols"/>
        <color theme="1"/>
        <sz val="12.0"/>
      </rPr>
      <t xml:space="preserve">f </t>
    </r>
    <r>
      <rPr>
        <rFont val="Arial"/>
        <color theme="1"/>
        <sz val="12.0"/>
      </rPr>
      <t xml:space="preserve">  =</t>
    </r>
  </si>
  <si>
    <r>
      <rPr>
        <rFont val="Arial"/>
        <b/>
        <color theme="1"/>
        <sz val="10.0"/>
      </rPr>
      <t>Longitude (</t>
    </r>
    <r>
      <rPr>
        <rFont val="Symbol"/>
        <b val="0"/>
        <color theme="1"/>
        <sz val="10.0"/>
      </rPr>
      <t>l</t>
    </r>
    <r>
      <rPr>
        <rFont val="Arial"/>
        <b/>
        <color theme="1"/>
        <sz val="10.0"/>
      </rPr>
      <t>) =</t>
    </r>
  </si>
  <si>
    <r>
      <rPr>
        <rFont val="Noto Sans Symbols"/>
        <color theme="1"/>
        <sz val="12.0"/>
      </rPr>
      <t>l</t>
    </r>
    <r>
      <rPr>
        <rFont val="Arial"/>
        <color theme="1"/>
        <sz val="12.0"/>
      </rPr>
      <t xml:space="preserve">   =</t>
    </r>
  </si>
  <si>
    <t>Heminfério =</t>
  </si>
  <si>
    <r>
      <rPr>
        <rFont val="Noto Sans Symbols"/>
        <b/>
        <color theme="1"/>
        <sz val="12.0"/>
      </rPr>
      <t>g</t>
    </r>
    <r>
      <rPr>
        <rFont val="Arial"/>
        <b val="0"/>
        <color theme="1"/>
        <sz val="10.0"/>
      </rPr>
      <t xml:space="preserve"> =</t>
    </r>
  </si>
  <si>
    <t xml:space="preserve">obs: </t>
  </si>
  <si>
    <t>1 - Na transformação de geográfica para TM aparecem dois quadros para o caso de pontos</t>
  </si>
  <si>
    <t>obs:</t>
  </si>
  <si>
    <t xml:space="preserve"> o  valor  de  h  é  correspondente  a </t>
  </si>
  <si>
    <t xml:space="preserve">    que estão na divisa do fuso;</t>
  </si>
  <si>
    <t>altitude   elipsoidal.   Para   obter   a</t>
  </si>
  <si>
    <r>
      <rPr>
        <rFont val="Arial"/>
        <color theme="1"/>
        <sz val="10.0"/>
      </rPr>
      <t xml:space="preserve">2 - </t>
    </r>
    <r>
      <rPr>
        <rFont val="Symbol"/>
        <color theme="1"/>
        <sz val="10.0"/>
      </rPr>
      <t xml:space="preserve">g  </t>
    </r>
    <r>
      <rPr>
        <rFont val="Arial"/>
        <color theme="1"/>
        <sz val="10.0"/>
      </rPr>
      <t>é a convergência meridiana plana;</t>
    </r>
  </si>
  <si>
    <t xml:space="preserve">ortométrica é necessário  conhecer </t>
  </si>
  <si>
    <t>3 - k é o fator de deformação da projeção para o ponto calculado.</t>
  </si>
  <si>
    <t>a ondulação do geóide.</t>
  </si>
  <si>
    <t>* - Pode-se  escolher o fuso para o caso de se desejar a coordenada UTM fora dos limites</t>
  </si>
  <si>
    <t xml:space="preserve">     normais (6º de amplitude). O limite de superposição de fuso é de 30' além das bordas.</t>
  </si>
  <si>
    <t xml:space="preserve">Fonte: </t>
  </si>
  <si>
    <r>
      <rPr>
        <rFont val="Arial"/>
        <color theme="1"/>
        <sz val="9.0"/>
      </rPr>
      <t xml:space="preserve">BLACHUT,T.J.,CHRZANOWSKI,A.,SAASTAMOINEN,J.H. </t>
    </r>
    <r>
      <rPr>
        <rFont val="Arial"/>
        <b/>
        <color theme="1"/>
        <sz val="9.0"/>
      </rPr>
      <t>Urban Surveying and Mapping</t>
    </r>
    <r>
      <rPr>
        <rFont val="Arial"/>
        <color theme="1"/>
        <sz val="9.0"/>
      </rPr>
      <t>.</t>
    </r>
  </si>
  <si>
    <t>IBGE. Resolução nº 23 (21/02/1989)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</si>
</sst>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4">
    <numFmt numFmtId="164" formatCode="0.0000"/>
    <numFmt numFmtId="165" formatCode="#,##0.00000"/>
    <numFmt numFmtId="166" formatCode="0.00000000"/>
    <numFmt numFmtId="167" formatCode="0.000000"/>
    <numFmt numFmtId="168" formatCode="0.00000000000000000"/>
    <numFmt numFmtId="169" formatCode="#,##0.000000"/>
    <numFmt numFmtId="170" formatCode="0.00000000000"/>
    <numFmt numFmtId="171" formatCode="0.000000000000000"/>
    <numFmt numFmtId="172" formatCode="0.0000000000000"/>
    <numFmt numFmtId="173" formatCode="0.00000"/>
    <numFmt numFmtId="174" formatCode="0.0000000"/>
    <numFmt numFmtId="175" formatCode="#,##0.0000"/>
    <numFmt numFmtId="176" formatCode="_(* #,##0.00000_);_(* \(#,##0.00000\);_(* &quot;-&quot;??_);_(@_)"/>
    <numFmt numFmtId="177" formatCode="_(* #,##0.0000_);_(* \(#,##0.0000\);_(* &quot;-&quot;??_);_(@_)"/>
    <numFmt numFmtId="178" formatCode="0.000000000000"/>
    <numFmt numFmtId="179" formatCode="#,##0.0000000000"/>
    <numFmt numFmtId="180" formatCode="_(* #,##0.000000000_);_(* \(#,##0.000000000\);_(* &quot;-&quot;??_);_(@_)"/>
    <numFmt numFmtId="181" formatCode="0.0000000000"/>
    <numFmt numFmtId="182" formatCode="0.000000000"/>
    <numFmt numFmtId="183" formatCode="0.00000E+00"/>
    <numFmt numFmtId="184" formatCode="0.000000000E+00"/>
    <numFmt numFmtId="185" formatCode="0.00000000000000"/>
    <numFmt numFmtId="186" formatCode="0.000"/>
    <numFmt numFmtId="187" formatCode="_(* #,##0.00000000_);_(* \(#,##0.00000000\);_(* &quot;-&quot;??_);_(@_)"/>
    <numFmt numFmtId="188" formatCode="_(* #,##0.0000000000_);_(* \(#,##0.0000000000\);_(* &quot;-&quot;????_);_(@_)"/>
    <numFmt numFmtId="189" formatCode="0.0"/>
    <numFmt numFmtId="190" formatCode="0.0000&quot; m&quot;"/>
    <numFmt numFmtId="191" formatCode="0.000&quot; m&quot;"/>
    <numFmt numFmtId="192" formatCode="_(* #,##0.0000000_);_(* \(#,##0.0000000\);_(* &quot;-&quot;??_);_(@_)"/>
    <numFmt numFmtId="193" formatCode="_(* #,##0.0000000000_);_(* \(#,##0.0000000000\);_(* &quot;-&quot;??_);_(@_)"/>
    <numFmt numFmtId="194" formatCode="0\ &quot;º&quot;"/>
    <numFmt numFmtId="195" formatCode="0\ &quot;'&quot;"/>
    <numFmt numFmtId="196" formatCode="0.0000\ &quot;''&quot;"/>
    <numFmt numFmtId="197" formatCode="0.0000\ &quot;S&quot;"/>
  </numFmts>
  <fonts count="37">
    <font>
      <sz val="10.0"/>
      <color rgb="FF000000"/>
      <name val="Arial"/>
      <scheme val="minor"/>
    </font>
    <font>
      <sz val="10.0"/>
      <color theme="1"/>
      <name val="Arial"/>
    </font>
    <font>
      <color theme="1"/>
      <name val="Arial"/>
      <scheme val="minor"/>
    </font>
    <font>
      <b/>
      <u/>
      <sz val="10.0"/>
      <color theme="1"/>
      <name val="Arial"/>
    </font>
    <font>
      <b/>
      <u/>
      <sz val="10.0"/>
      <color theme="1"/>
      <name val="Arial"/>
    </font>
    <font>
      <b/>
      <sz val="10.0"/>
      <color rgb="FFFF0000"/>
      <name val="Arial"/>
    </font>
    <font>
      <sz val="10.0"/>
      <color rgb="FFFF0000"/>
      <name val="Arial"/>
    </font>
    <font>
      <sz val="10.0"/>
      <color theme="1"/>
      <name val="Noto Sans Symbols"/>
    </font>
    <font/>
    <font>
      <sz val="9.0"/>
      <color theme="1"/>
      <name val="Arial"/>
    </font>
    <font>
      <b/>
      <i/>
      <sz val="10.0"/>
      <color theme="1"/>
      <name val="Arial"/>
    </font>
    <font>
      <sz val="10.0"/>
      <color theme="1"/>
      <name val="Caslon bd bt"/>
    </font>
    <font>
      <sz val="10.0"/>
      <color rgb="FF0000FF"/>
      <name val="Arial"/>
    </font>
    <font>
      <b/>
      <sz val="10.0"/>
      <color theme="1"/>
      <name val="Arial"/>
    </font>
    <font>
      <sz val="12.0"/>
      <color theme="1"/>
      <name val="Noto Sans Symbols"/>
    </font>
    <font>
      <sz val="12.0"/>
      <color theme="1"/>
      <name val="Arial"/>
    </font>
    <font>
      <sz val="10.0"/>
      <color rgb="FF808080"/>
      <name val="Arial"/>
    </font>
    <font>
      <sz val="14.0"/>
      <color theme="1"/>
      <name val="Noto Sans Symbols"/>
    </font>
    <font>
      <sz val="11.0"/>
      <color theme="1"/>
      <name val="Arial"/>
    </font>
    <font>
      <b/>
      <sz val="9.0"/>
      <color theme="1"/>
      <name val="Arial"/>
    </font>
    <font>
      <i/>
      <sz val="10.0"/>
      <color theme="1"/>
      <name val="Arial"/>
    </font>
    <font>
      <sz val="10.0"/>
      <color rgb="FFEFFFEF"/>
      <name val="Arial"/>
    </font>
    <font>
      <b/>
      <sz val="12.0"/>
      <color theme="1"/>
      <name val="Arial"/>
    </font>
    <font>
      <b/>
      <sz val="12.0"/>
      <color rgb="FF808080"/>
      <name val="Arial"/>
    </font>
    <font>
      <sz val="10.0"/>
      <color rgb="FFEBFFFF"/>
      <name val="Arial"/>
    </font>
    <font>
      <sz val="10.0"/>
      <color rgb="FF000080"/>
      <name val="Arial"/>
    </font>
    <font>
      <sz val="10.0"/>
      <color rgb="FFFFFF99"/>
      <name val="Arial"/>
    </font>
    <font>
      <sz val="10.0"/>
      <color rgb="FFFFFF00"/>
      <name val="Arial"/>
    </font>
    <font>
      <b/>
      <sz val="10.0"/>
      <color rgb="FFFFFF00"/>
      <name val="Arial"/>
    </font>
    <font>
      <sz val="8.0"/>
      <color theme="1"/>
      <name val="Arial"/>
    </font>
    <font>
      <b/>
      <sz val="10.0"/>
      <color rgb="FFFFFF99"/>
      <name val="Arial"/>
    </font>
    <font>
      <b/>
      <sz val="12.0"/>
      <color theme="1"/>
      <name val="Noto Sans Symbols"/>
    </font>
    <font>
      <sz val="12.0"/>
      <color rgb="FF000080"/>
      <name val="Arial"/>
    </font>
    <font>
      <sz val="10.0"/>
      <color rgb="FF333399"/>
      <name val="Arial"/>
    </font>
    <font>
      <b/>
      <sz val="10.0"/>
      <color rgb="FF333399"/>
      <name val="Arial"/>
    </font>
    <font>
      <sz val="11.0"/>
      <color rgb="FF000080"/>
      <name val="Arial"/>
    </font>
    <font>
      <sz val="10.0"/>
      <color rgb="FFE5F1B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C2C2C2"/>
        <bgColor rgb="FFC2C2C2"/>
      </patternFill>
    </fill>
    <fill>
      <patternFill patternType="solid">
        <fgColor rgb="FFE1E1E1"/>
        <bgColor rgb="FFE1E1E1"/>
      </patternFill>
    </fill>
    <fill>
      <patternFill patternType="solid">
        <fgColor rgb="FF808080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rgb="FFEFFFEF"/>
        <bgColor rgb="FFEFFFEF"/>
      </patternFill>
    </fill>
    <fill>
      <patternFill patternType="solid">
        <fgColor rgb="FFFFFF99"/>
        <bgColor rgb="FFFFFF99"/>
      </patternFill>
    </fill>
    <fill>
      <patternFill patternType="solid">
        <fgColor rgb="FFE9FFFF"/>
        <bgColor rgb="FFE9FFFF"/>
      </patternFill>
    </fill>
    <fill>
      <patternFill patternType="solid">
        <fgColor rgb="FFEBFFFF"/>
        <bgColor rgb="FFEBFFFF"/>
      </patternFill>
    </fill>
    <fill>
      <patternFill patternType="solid">
        <fgColor rgb="FFE5F1B1"/>
        <bgColor rgb="FFE5F1B1"/>
      </patternFill>
    </fill>
  </fills>
  <borders count="116">
    <border/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double">
        <color rgb="FF000000"/>
      </bottom>
    </border>
    <border>
      <right style="medium">
        <color rgb="FF000000"/>
      </right>
      <bottom style="double">
        <color rgb="FF000000"/>
      </bottom>
    </border>
    <border>
      <left style="medium">
        <color rgb="FF000000"/>
      </left>
      <top style="double">
        <color rgb="FF000000"/>
      </top>
      <bottom style="double">
        <color rgb="FF000000"/>
      </bottom>
    </border>
    <border>
      <right style="medium">
        <color rgb="FF000000"/>
      </right>
      <top style="double">
        <color rgb="FF000000"/>
      </top>
      <bottom style="double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medium">
        <color rgb="FF000000"/>
      </right>
      <top style="medium">
        <color rgb="FF000000"/>
      </top>
      <bottom style="double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</border>
    <border>
      <top style="double">
        <color rgb="FF000000"/>
      </top>
      <bottom style="medium">
        <color rgb="FF000000"/>
      </bottom>
    </border>
    <border>
      <right style="medium">
        <color rgb="FF000000"/>
      </right>
      <top style="double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double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</border>
    <border>
      <right style="thin">
        <color rgb="FF000000"/>
      </right>
      <top style="double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/>
      <right/>
      <top/>
      <bottom/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top/>
      <bottom/>
    </border>
    <border>
      <left/>
      <right style="medium">
        <color rgb="FF000000"/>
      </right>
      <top/>
      <bottom/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medium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/>
    </border>
    <border>
      <right style="medium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/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/>
      <right style="thin">
        <color rgb="FF000000"/>
      </right>
      <top/>
      <bottom/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</borders>
  <cellStyleXfs count="1">
    <xf borderId="0" fillId="0" fontId="0" numFmtId="0" applyAlignment="1" applyFont="1"/>
  </cellStyleXfs>
  <cellXfs count="39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0"/>
    </xf>
    <xf borderId="2" fillId="0" fontId="1" numFmtId="0" xfId="0" applyAlignment="1" applyBorder="1" applyFont="1">
      <alignment shrinkToFit="0" vertical="bottom" wrapText="0"/>
    </xf>
    <xf borderId="0" fillId="0" fontId="1" numFmtId="0" xfId="0" applyAlignment="1" applyFont="1">
      <alignment horizontal="right" shrinkToFit="0" vertical="bottom" wrapText="0"/>
    </xf>
    <xf borderId="0" fillId="0" fontId="2" numFmtId="0" xfId="0" applyFont="1"/>
    <xf borderId="3" fillId="0" fontId="1" numFmtId="0" xfId="0" applyAlignment="1" applyBorder="1" applyFont="1">
      <alignment shrinkToFit="0" vertical="bottom" wrapText="0"/>
    </xf>
    <xf borderId="4" fillId="0" fontId="1" numFmtId="0" xfId="0" applyAlignment="1" applyBorder="1" applyFon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5" fillId="0" fontId="1" numFmtId="0" xfId="0" applyAlignment="1" applyBorder="1" applyFont="1">
      <alignment horizontal="right" shrinkToFit="0" vertical="bottom" wrapText="0"/>
    </xf>
    <xf borderId="6" fillId="0" fontId="5" numFmtId="0" xfId="0" applyAlignment="1" applyBorder="1" applyFont="1">
      <alignment horizontal="center" shrinkToFit="0" vertical="bottom" wrapText="0"/>
    </xf>
    <xf borderId="7" fillId="0" fontId="1" numFmtId="0" xfId="0" applyAlignment="1" applyBorder="1" applyFont="1">
      <alignment shrinkToFit="0" vertical="bottom" wrapText="0"/>
    </xf>
    <xf borderId="8" fillId="0" fontId="1" numFmtId="164" xfId="0" applyAlignment="1" applyBorder="1" applyFont="1" applyNumberFormat="1">
      <alignment horizontal="center" shrinkToFit="0" vertical="bottom" wrapText="0"/>
    </xf>
    <xf borderId="9" fillId="2" fontId="1" numFmtId="0" xfId="0" applyAlignment="1" applyBorder="1" applyFill="1" applyFont="1">
      <alignment shrinkToFit="0" vertical="bottom" wrapText="0"/>
    </xf>
    <xf borderId="9" fillId="0" fontId="1" numFmtId="0" xfId="0" applyAlignment="1" applyBorder="1" applyFont="1">
      <alignment horizontal="center" shrinkToFit="0" vertical="bottom" wrapText="0"/>
    </xf>
    <xf borderId="10" fillId="0" fontId="1" numFmtId="0" xfId="0" applyAlignment="1" applyBorder="1" applyFont="1">
      <alignment horizontal="right" shrinkToFit="0" vertical="bottom" wrapText="0"/>
    </xf>
    <xf borderId="8" fillId="0" fontId="1" numFmtId="165" xfId="0" applyAlignment="1" applyBorder="1" applyFont="1" applyNumberFormat="1">
      <alignment shrinkToFit="0" vertical="bottom" wrapText="0"/>
    </xf>
    <xf borderId="9" fillId="0" fontId="1" numFmtId="0" xfId="0" applyAlignment="1" applyBorder="1" applyFont="1">
      <alignment horizontal="right" shrinkToFit="0" vertical="bottom" wrapText="0"/>
    </xf>
    <xf borderId="9" fillId="0" fontId="6" numFmtId="1" xfId="0" applyAlignment="1" applyBorder="1" applyFont="1" applyNumberFormat="1">
      <alignment shrinkToFit="0" vertical="bottom" wrapText="0"/>
    </xf>
    <xf borderId="9" fillId="0" fontId="6" numFmtId="1" xfId="0" applyAlignment="1" applyBorder="1" applyFont="1" applyNumberFormat="1">
      <alignment horizontal="center" shrinkToFit="0" vertical="bottom" wrapText="0"/>
    </xf>
    <xf borderId="9" fillId="0" fontId="6" numFmtId="164" xfId="0" applyAlignment="1" applyBorder="1" applyFont="1" applyNumberFormat="1">
      <alignment horizontal="center" shrinkToFit="0" vertical="bottom" wrapText="0"/>
    </xf>
    <xf borderId="9" fillId="0" fontId="1" numFmtId="0" xfId="0" applyAlignment="1" applyBorder="1" applyFont="1">
      <alignment shrinkToFit="0" vertical="bottom" wrapText="0"/>
    </xf>
    <xf borderId="11" fillId="0" fontId="1" numFmtId="0" xfId="0" applyAlignment="1" applyBorder="1" applyFont="1">
      <alignment horizontal="right" shrinkToFit="0" vertical="bottom" wrapText="0"/>
    </xf>
    <xf borderId="12" fillId="0" fontId="1" numFmtId="165" xfId="0" applyAlignment="1" applyBorder="1" applyFont="1" applyNumberFormat="1">
      <alignment shrinkToFit="0" vertical="bottom" wrapText="0"/>
    </xf>
    <xf borderId="9" fillId="0" fontId="1" numFmtId="166" xfId="0" applyAlignment="1" applyBorder="1" applyFont="1" applyNumberFormat="1">
      <alignment horizontal="center" shrinkToFit="0" vertical="bottom" wrapText="0"/>
    </xf>
    <xf borderId="0" fillId="0" fontId="7" numFmtId="0" xfId="0" applyAlignment="1" applyFont="1">
      <alignment horizontal="right" shrinkToFit="0" vertical="bottom" wrapText="0"/>
    </xf>
    <xf borderId="0" fillId="0" fontId="1" numFmtId="167" xfId="0" applyAlignment="1" applyFont="1" applyNumberFormat="1">
      <alignment horizontal="left" shrinkToFit="0" vertical="bottom" wrapText="0"/>
    </xf>
    <xf borderId="0" fillId="0" fontId="1" numFmtId="168" xfId="0" applyAlignment="1" applyFont="1" applyNumberFormat="1">
      <alignment horizontal="left" shrinkToFit="0" vertical="bottom" wrapText="0"/>
    </xf>
    <xf borderId="13" fillId="0" fontId="1" numFmtId="0" xfId="0" applyAlignment="1" applyBorder="1" applyFont="1">
      <alignment horizontal="right" shrinkToFit="0" vertical="bottom" wrapText="0"/>
    </xf>
    <xf borderId="14" fillId="0" fontId="1" numFmtId="169" xfId="0" applyAlignment="1" applyBorder="1" applyFont="1" applyNumberFormat="1">
      <alignment horizontal="right" shrinkToFit="0" vertical="bottom" wrapText="0"/>
    </xf>
    <xf borderId="15" fillId="0" fontId="1" numFmtId="0" xfId="0" applyAlignment="1" applyBorder="1" applyFont="1">
      <alignment horizontal="left" shrinkToFit="0" vertical="bottom" wrapText="0"/>
    </xf>
    <xf borderId="0" fillId="0" fontId="1" numFmtId="170" xfId="0" applyAlignment="1" applyFont="1" applyNumberFormat="1">
      <alignment horizontal="left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171" xfId="0" applyAlignment="1" applyFont="1" applyNumberFormat="1">
      <alignment shrinkToFit="0" vertical="bottom" wrapText="0"/>
    </xf>
    <xf borderId="16" fillId="0" fontId="1" numFmtId="0" xfId="0" applyAlignment="1" applyBorder="1" applyFont="1">
      <alignment horizontal="center" shrinkToFit="0" vertical="bottom" wrapText="0"/>
    </xf>
    <xf borderId="17" fillId="0" fontId="8" numFmtId="0" xfId="0" applyBorder="1" applyFont="1"/>
    <xf borderId="18" fillId="0" fontId="8" numFmtId="0" xfId="0" applyBorder="1" applyFont="1"/>
    <xf borderId="17" fillId="0" fontId="1" numFmtId="0" xfId="0" applyAlignment="1" applyBorder="1" applyFont="1">
      <alignment horizontal="center" shrinkToFit="0" vertical="bottom" wrapText="0"/>
    </xf>
    <xf borderId="7" fillId="0" fontId="9" numFmtId="0" xfId="0" applyAlignment="1" applyBorder="1" applyFont="1">
      <alignment horizontal="right" shrinkToFit="0" vertical="bottom" wrapText="0"/>
    </xf>
    <xf borderId="19" fillId="0" fontId="8" numFmtId="0" xfId="0" applyBorder="1" applyFont="1"/>
    <xf borderId="8" fillId="0" fontId="6" numFmtId="0" xfId="0" applyAlignment="1" applyBorder="1" applyFont="1">
      <alignment horizontal="center" shrinkToFit="0" vertical="bottom" wrapText="0"/>
    </xf>
    <xf borderId="20" fillId="0" fontId="6" numFmtId="0" xfId="0" applyAlignment="1" applyBorder="1" applyFont="1">
      <alignment horizontal="center" shrinkToFit="0" vertical="bottom" wrapText="0"/>
    </xf>
    <xf borderId="21" fillId="0" fontId="1" numFmtId="0" xfId="0" applyAlignment="1" applyBorder="1" applyFont="1">
      <alignment shrinkToFit="0" vertical="bottom" wrapText="0"/>
    </xf>
    <xf borderId="22" fillId="0" fontId="10" numFmtId="0" xfId="0" applyAlignment="1" applyBorder="1" applyFont="1">
      <alignment horizontal="center" shrinkToFit="0" vertical="bottom" wrapText="0"/>
    </xf>
    <xf borderId="23" fillId="0" fontId="8" numFmtId="0" xfId="0" applyBorder="1" applyFont="1"/>
    <xf borderId="11" fillId="0" fontId="10" numFmtId="0" xfId="0" applyAlignment="1" applyBorder="1" applyFont="1">
      <alignment horizontal="center" shrinkToFit="0" vertical="bottom" wrapText="0"/>
    </xf>
    <xf borderId="24" fillId="0" fontId="8" numFmtId="0" xfId="0" applyBorder="1" applyFont="1"/>
    <xf borderId="25" fillId="0" fontId="9" numFmtId="0" xfId="0" applyAlignment="1" applyBorder="1" applyFont="1">
      <alignment horizontal="right" shrinkToFit="0" vertical="bottom" wrapText="0"/>
    </xf>
    <xf borderId="15" fillId="0" fontId="8" numFmtId="0" xfId="0" applyBorder="1" applyFont="1"/>
    <xf borderId="26" fillId="0" fontId="1" numFmtId="0" xfId="0" applyAlignment="1" applyBorder="1" applyFont="1">
      <alignment shrinkToFit="0" vertical="bottom" wrapText="0"/>
    </xf>
    <xf borderId="14" fillId="0" fontId="1" numFmtId="0" xfId="0" applyAlignment="1" applyBorder="1" applyFont="1">
      <alignment shrinkToFit="0" vertical="bottom" wrapText="0"/>
    </xf>
    <xf borderId="27" fillId="0" fontId="1" numFmtId="0" xfId="0" applyAlignment="1" applyBorder="1" applyFont="1">
      <alignment shrinkToFit="0" vertical="bottom" wrapText="0"/>
    </xf>
    <xf borderId="28" fillId="0" fontId="1" numFmtId="0" xfId="0" applyAlignment="1" applyBorder="1" applyFont="1">
      <alignment horizontal="center" shrinkToFit="0" vertical="bottom" wrapText="0"/>
    </xf>
    <xf borderId="19" fillId="0" fontId="1" numFmtId="0" xfId="0" applyAlignment="1" applyBorder="1" applyFont="1">
      <alignment horizontal="center" shrinkToFit="0" vertical="bottom" wrapText="0"/>
    </xf>
    <xf borderId="29" fillId="0" fontId="1" numFmtId="0" xfId="0" applyAlignment="1" applyBorder="1" applyFont="1">
      <alignment horizontal="center" shrinkToFit="0" vertical="bottom" wrapText="0"/>
    </xf>
    <xf borderId="25" fillId="0" fontId="1" numFmtId="0" xfId="0" applyAlignment="1" applyBorder="1" applyFont="1">
      <alignment horizontal="right" shrinkToFit="0" vertical="bottom" wrapText="0"/>
    </xf>
    <xf borderId="26" fillId="0" fontId="1" numFmtId="164" xfId="0" applyAlignment="1" applyBorder="1" applyFont="1" applyNumberFormat="1">
      <alignment shrinkToFit="0" vertical="bottom" wrapText="0"/>
    </xf>
    <xf borderId="15" fillId="0" fontId="1" numFmtId="0" xfId="0" applyAlignment="1" applyBorder="1" applyFont="1">
      <alignment horizontal="center" shrinkToFit="0" vertical="bottom" wrapText="0"/>
    </xf>
    <xf borderId="26" fillId="0" fontId="1" numFmtId="0" xfId="0" applyAlignment="1" applyBorder="1" applyFont="1">
      <alignment horizontal="center" shrinkToFit="0" vertical="bottom" wrapText="0"/>
    </xf>
    <xf borderId="30" fillId="0" fontId="1" numFmtId="0" xfId="0" applyAlignment="1" applyBorder="1" applyFont="1">
      <alignment horizontal="center" shrinkToFit="0" vertical="bottom" wrapText="0"/>
    </xf>
    <xf borderId="31" fillId="0" fontId="1" numFmtId="0" xfId="0" applyAlignment="1" applyBorder="1" applyFont="1">
      <alignment horizontal="center" shrinkToFit="0" vertical="bottom" wrapText="0"/>
    </xf>
    <xf borderId="32" fillId="0" fontId="11" numFmtId="0" xfId="0" applyAlignment="1" applyBorder="1" applyFont="1">
      <alignment horizontal="right" shrinkToFit="0" vertical="bottom" wrapText="0"/>
    </xf>
    <xf borderId="9" fillId="0" fontId="1" numFmtId="172" xfId="0" applyAlignment="1" applyBorder="1" applyFont="1" applyNumberFormat="1">
      <alignment shrinkToFit="0" vertical="bottom" wrapText="0"/>
    </xf>
    <xf borderId="26" fillId="0" fontId="1" numFmtId="173" xfId="0" applyAlignment="1" applyBorder="1" applyFont="1" applyNumberFormat="1">
      <alignment horizontal="center" shrinkToFit="0" vertical="bottom" wrapText="0"/>
    </xf>
    <xf borderId="14" fillId="0" fontId="1" numFmtId="173" xfId="0" applyAlignment="1" applyBorder="1" applyFont="1" applyNumberFormat="1">
      <alignment horizontal="center" shrinkToFit="0" vertical="bottom" wrapText="0"/>
    </xf>
    <xf borderId="26" fillId="0" fontId="1" numFmtId="170" xfId="0" applyAlignment="1" applyBorder="1" applyFont="1" applyNumberFormat="1">
      <alignment shrinkToFit="0" vertical="bottom" wrapText="0"/>
    </xf>
    <xf borderId="15" fillId="0" fontId="1" numFmtId="174" xfId="0" applyAlignment="1" applyBorder="1" applyFont="1" applyNumberFormat="1">
      <alignment horizontal="center" shrinkToFit="0" vertical="bottom" wrapText="0"/>
    </xf>
    <xf borderId="26" fillId="0" fontId="1" numFmtId="174" xfId="0" applyAlignment="1" applyBorder="1" applyFont="1" applyNumberFormat="1">
      <alignment horizontal="center" shrinkToFit="0" vertical="bottom" wrapText="0"/>
    </xf>
    <xf borderId="30" fillId="0" fontId="1" numFmtId="174" xfId="0" applyAlignment="1" applyBorder="1" applyFont="1" applyNumberFormat="1">
      <alignment horizontal="center" shrinkToFit="0" vertical="bottom" wrapText="0"/>
    </xf>
    <xf borderId="25" fillId="0" fontId="1" numFmtId="0" xfId="0" applyAlignment="1" applyBorder="1" applyFont="1">
      <alignment horizontal="center" shrinkToFit="0" vertical="bottom" wrapText="0"/>
    </xf>
    <xf borderId="14" fillId="0" fontId="8" numFmtId="0" xfId="0" applyBorder="1" applyFont="1"/>
    <xf borderId="27" fillId="0" fontId="8" numFmtId="0" xfId="0" applyBorder="1" applyFont="1"/>
    <xf borderId="20" fillId="0" fontId="1" numFmtId="0" xfId="0" applyAlignment="1" applyBorder="1" applyFont="1">
      <alignment shrinkToFit="0" vertical="bottom" wrapText="0"/>
    </xf>
    <xf borderId="0" fillId="0" fontId="1" numFmtId="165" xfId="0" applyAlignment="1" applyFont="1" applyNumberFormat="1">
      <alignment shrinkToFit="0" vertical="bottom" wrapText="0"/>
    </xf>
    <xf borderId="14" fillId="0" fontId="1" numFmtId="175" xfId="0" applyAlignment="1" applyBorder="1" applyFont="1" applyNumberFormat="1">
      <alignment horizontal="center" shrinkToFit="0" vertical="bottom" wrapText="0"/>
    </xf>
    <xf borderId="20" fillId="0" fontId="1" numFmtId="175" xfId="0" applyAlignment="1" applyBorder="1" applyFont="1" applyNumberFormat="1">
      <alignment horizontal="center" shrinkToFit="0" vertical="bottom" wrapText="0"/>
    </xf>
    <xf borderId="15" fillId="0" fontId="1" numFmtId="175" xfId="0" applyAlignment="1" applyBorder="1" applyFont="1" applyNumberFormat="1">
      <alignment horizontal="center" shrinkToFit="0" vertical="bottom" wrapText="0"/>
    </xf>
    <xf borderId="26" fillId="0" fontId="1" numFmtId="175" xfId="0" applyAlignment="1" applyBorder="1" applyFont="1" applyNumberFormat="1">
      <alignment horizontal="center" shrinkToFit="0" vertical="bottom" wrapText="0"/>
    </xf>
    <xf borderId="30" fillId="0" fontId="1" numFmtId="175" xfId="0" applyAlignment="1" applyBorder="1" applyFont="1" applyNumberFormat="1">
      <alignment horizontal="center" shrinkToFit="0" vertical="bottom" wrapText="0"/>
    </xf>
    <xf borderId="11" fillId="0" fontId="1" numFmtId="0" xfId="0" applyAlignment="1" applyBorder="1" applyFont="1">
      <alignment horizontal="center" shrinkToFit="0" vertical="bottom" wrapText="0"/>
    </xf>
    <xf borderId="33" fillId="0" fontId="8" numFmtId="0" xfId="0" applyBorder="1" applyFont="1"/>
    <xf borderId="34" fillId="0" fontId="1" numFmtId="0" xfId="0" applyAlignment="1" applyBorder="1" applyFont="1">
      <alignment shrinkToFit="0" vertical="bottom" wrapText="0"/>
    </xf>
    <xf borderId="35" fillId="0" fontId="1" numFmtId="0" xfId="0" applyAlignment="1" applyBorder="1" applyFont="1">
      <alignment shrinkToFit="0" vertical="bottom" wrapText="0"/>
    </xf>
    <xf borderId="36" fillId="0" fontId="1" numFmtId="0" xfId="0" applyAlignment="1" applyBorder="1" applyFont="1">
      <alignment horizontal="center" shrinkToFit="0" vertical="bottom" wrapText="0"/>
    </xf>
    <xf borderId="12" fillId="0" fontId="1" numFmtId="0" xfId="0" applyAlignment="1" applyBorder="1" applyFont="1">
      <alignment horizontal="center" shrinkToFit="0" vertical="bottom" wrapText="0"/>
    </xf>
    <xf borderId="37" fillId="0" fontId="1" numFmtId="0" xfId="0" applyAlignment="1" applyBorder="1" applyFont="1">
      <alignment horizontal="center" shrinkToFit="0" vertical="bottom" wrapText="0"/>
    </xf>
    <xf borderId="38" fillId="0" fontId="1" numFmtId="0" xfId="0" applyAlignment="1" applyBorder="1" applyFont="1">
      <alignment horizontal="right" shrinkToFit="0" vertical="bottom" wrapText="0"/>
    </xf>
    <xf borderId="39" fillId="0" fontId="12" numFmtId="176" xfId="0" applyAlignment="1" applyBorder="1" applyFont="1" applyNumberFormat="1">
      <alignment horizontal="center" shrinkToFit="0" vertical="bottom" wrapText="0"/>
    </xf>
    <xf borderId="39" fillId="0" fontId="8" numFmtId="0" xfId="0" applyBorder="1" applyFont="1"/>
    <xf borderId="38" fillId="0" fontId="12" numFmtId="176" xfId="0" applyAlignment="1" applyBorder="1" applyFont="1" applyNumberFormat="1">
      <alignment horizontal="left" shrinkToFit="1" vertical="bottom" wrapText="0"/>
    </xf>
    <xf borderId="40" fillId="0" fontId="8" numFmtId="0" xfId="0" applyBorder="1" applyFont="1"/>
    <xf borderId="0" fillId="0" fontId="12" numFmtId="177" xfId="0" applyAlignment="1" applyFont="1" applyNumberFormat="1">
      <alignment horizontal="center" shrinkToFit="1" vertical="bottom" wrapText="0"/>
    </xf>
    <xf borderId="41" fillId="0" fontId="12" numFmtId="177" xfId="0" applyAlignment="1" applyBorder="1" applyFont="1" applyNumberFormat="1">
      <alignment horizontal="center" shrinkToFit="1" vertical="bottom" wrapText="0"/>
    </xf>
    <xf borderId="42" fillId="0" fontId="12" numFmtId="177" xfId="0" applyAlignment="1" applyBorder="1" applyFont="1" applyNumberFormat="1">
      <alignment horizontal="center" shrinkToFit="0" vertical="bottom" wrapText="0"/>
    </xf>
    <xf borderId="14" fillId="0" fontId="12" numFmtId="164" xfId="0" applyAlignment="1" applyBorder="1" applyFont="1" applyNumberFormat="1">
      <alignment horizontal="center" shrinkToFit="0" vertical="bottom" wrapText="0"/>
    </xf>
    <xf borderId="25" fillId="0" fontId="12" numFmtId="164" xfId="0" applyAlignment="1" applyBorder="1" applyFont="1" applyNumberFormat="1">
      <alignment horizontal="center" shrinkToFit="1" vertical="bottom" wrapText="0"/>
    </xf>
    <xf borderId="20" fillId="0" fontId="12" numFmtId="164" xfId="0" applyAlignment="1" applyBorder="1" applyFont="1" applyNumberFormat="1">
      <alignment horizontal="center" shrinkToFit="1" vertical="bottom" wrapText="0"/>
    </xf>
    <xf borderId="8" fillId="0" fontId="12" numFmtId="164" xfId="0" applyAlignment="1" applyBorder="1" applyFont="1" applyNumberFormat="1">
      <alignment horizontal="center" shrinkToFit="1" vertical="bottom" wrapText="0"/>
    </xf>
    <xf borderId="29" fillId="0" fontId="12" numFmtId="164" xfId="0" applyAlignment="1" applyBorder="1" applyFont="1" applyNumberFormat="1">
      <alignment horizontal="center" shrinkToFit="0" vertical="bottom" wrapText="0"/>
    </xf>
    <xf borderId="34" fillId="0" fontId="1" numFmtId="178" xfId="0" applyAlignment="1" applyBorder="1" applyFont="1" applyNumberFormat="1">
      <alignment horizontal="center" shrinkToFit="0" vertical="bottom" wrapText="0"/>
    </xf>
    <xf borderId="35" fillId="0" fontId="8" numFmtId="0" xfId="0" applyBorder="1" applyFont="1"/>
    <xf borderId="43" fillId="0" fontId="1" numFmtId="178" xfId="0" applyAlignment="1" applyBorder="1" applyFont="1" applyNumberFormat="1">
      <alignment horizontal="center" shrinkToFit="0" vertical="bottom" wrapText="0"/>
    </xf>
    <xf borderId="33" fillId="0" fontId="1" numFmtId="0" xfId="0" applyAlignment="1" applyBorder="1" applyFont="1">
      <alignment shrinkToFit="0" vertical="bottom" wrapText="0"/>
    </xf>
    <xf borderId="12" fillId="0" fontId="1" numFmtId="0" xfId="0" applyAlignment="1" applyBorder="1" applyFont="1">
      <alignment shrinkToFit="0" vertical="bottom" wrapText="0"/>
    </xf>
    <xf borderId="44" fillId="0" fontId="1" numFmtId="0" xfId="0" applyAlignment="1" applyBorder="1" applyFont="1">
      <alignment shrinkToFit="0" vertical="bottom" wrapText="0"/>
    </xf>
    <xf borderId="0" fillId="0" fontId="13" numFmtId="0" xfId="0" applyAlignment="1" applyFont="1">
      <alignment shrinkToFit="0" vertical="bottom" wrapText="0"/>
    </xf>
    <xf borderId="45" fillId="3" fontId="1" numFmtId="0" xfId="0" applyAlignment="1" applyBorder="1" applyFill="1" applyFont="1">
      <alignment shrinkToFit="0" vertical="bottom" wrapText="0"/>
    </xf>
    <xf borderId="46" fillId="0" fontId="1" numFmtId="0" xfId="0" applyAlignment="1" applyBorder="1" applyFont="1">
      <alignment horizontal="center" shrinkToFit="0" vertical="bottom" wrapText="0"/>
    </xf>
    <xf borderId="47" fillId="0" fontId="1" numFmtId="0" xfId="0" applyAlignment="1" applyBorder="1" applyFont="1">
      <alignment horizontal="center" shrinkToFit="0" vertical="bottom" wrapText="0"/>
    </xf>
    <xf borderId="11" fillId="0" fontId="14" numFmtId="0" xfId="0" applyAlignment="1" applyBorder="1" applyFont="1">
      <alignment horizontal="center" shrinkToFit="0" vertical="bottom" wrapText="0"/>
    </xf>
    <xf borderId="48" fillId="0" fontId="1" numFmtId="170" xfId="0" applyAlignment="1" applyBorder="1" applyFont="1" applyNumberFormat="1">
      <alignment shrinkToFit="0" vertical="bottom" wrapText="0"/>
    </xf>
    <xf borderId="11" fillId="0" fontId="15" numFmtId="0" xfId="0" applyAlignment="1" applyBorder="1" applyFont="1">
      <alignment horizontal="center" shrinkToFit="0" vertical="bottom" wrapText="0"/>
    </xf>
    <xf borderId="23" fillId="0" fontId="12" numFmtId="1" xfId="0" applyAlignment="1" applyBorder="1" applyFont="1" applyNumberFormat="1">
      <alignment horizontal="center" shrinkToFit="0" vertical="bottom" wrapText="0"/>
    </xf>
    <xf borderId="49" fillId="0" fontId="12" numFmtId="1" xfId="0" applyAlignment="1" applyBorder="1" applyFont="1" applyNumberFormat="1">
      <alignment horizontal="center" shrinkToFit="0" vertical="bottom" wrapText="0"/>
    </xf>
    <xf borderId="50" fillId="0" fontId="12" numFmtId="164" xfId="0" applyAlignment="1" applyBorder="1" applyFont="1" applyNumberFormat="1">
      <alignment horizontal="center" shrinkToFit="0" vertical="bottom" wrapText="0"/>
    </xf>
    <xf borderId="51" fillId="0" fontId="1" numFmtId="0" xfId="0" applyAlignment="1" applyBorder="1" applyFont="1">
      <alignment horizontal="right" shrinkToFit="0" vertical="bottom" wrapText="0"/>
    </xf>
    <xf borderId="52" fillId="0" fontId="1" numFmtId="0" xfId="0" applyAlignment="1" applyBorder="1" applyFont="1">
      <alignment shrinkToFit="0" vertical="bottom" wrapText="0"/>
    </xf>
    <xf borderId="0" fillId="0" fontId="6" numFmtId="0" xfId="0" applyAlignment="1" applyFont="1">
      <alignment horizontal="left" shrinkToFit="0" vertical="bottom" wrapText="0"/>
    </xf>
    <xf borderId="32" fillId="0" fontId="1" numFmtId="0" xfId="0" applyAlignment="1" applyBorder="1" applyFont="1">
      <alignment horizontal="right" shrinkToFit="0" vertical="bottom" wrapText="0"/>
    </xf>
    <xf borderId="27" fillId="0" fontId="1" numFmtId="175" xfId="0" applyAlignment="1" applyBorder="1" applyFont="1" applyNumberFormat="1">
      <alignment shrinkToFit="0" vertical="bottom" wrapText="0"/>
    </xf>
    <xf borderId="0" fillId="0" fontId="1" numFmtId="172" xfId="0" applyAlignment="1" applyFont="1" applyNumberFormat="1">
      <alignment shrinkToFit="0" vertical="bottom" wrapText="0"/>
    </xf>
    <xf borderId="53" fillId="0" fontId="1" numFmtId="0" xfId="0" applyAlignment="1" applyBorder="1" applyFont="1">
      <alignment horizontal="right" shrinkToFit="0" vertical="bottom" wrapText="0"/>
    </xf>
    <xf borderId="24" fillId="0" fontId="1" numFmtId="179" xfId="0" applyAlignment="1" applyBorder="1" applyFont="1" applyNumberFormat="1">
      <alignment shrinkToFit="0" vertical="bottom" wrapText="0"/>
    </xf>
    <xf borderId="54" fillId="3" fontId="1" numFmtId="0" xfId="0" applyAlignment="1" applyBorder="1" applyFont="1">
      <alignment shrinkToFit="0" vertical="bottom" wrapText="0"/>
    </xf>
    <xf borderId="55" fillId="0" fontId="1" numFmtId="0" xfId="0" applyAlignment="1" applyBorder="1" applyFont="1">
      <alignment shrinkToFit="0" vertical="bottom" wrapText="0"/>
    </xf>
    <xf borderId="0" fillId="0" fontId="1" numFmtId="1" xfId="0" applyAlignment="1" applyFont="1" applyNumberFormat="1">
      <alignment shrinkToFit="0" vertical="bottom" wrapText="0"/>
    </xf>
    <xf borderId="40" fillId="0" fontId="1" numFmtId="165" xfId="0" applyAlignment="1" applyBorder="1" applyFont="1" applyNumberFormat="1">
      <alignment shrinkToFit="0" vertical="bottom" wrapText="0"/>
    </xf>
    <xf borderId="40" fillId="0" fontId="1" numFmtId="177" xfId="0" applyAlignment="1" applyBorder="1" applyFont="1" applyNumberFormat="1">
      <alignment shrinkToFit="0" vertical="bottom" wrapText="0"/>
    </xf>
    <xf borderId="56" fillId="0" fontId="1" numFmtId="0" xfId="0" applyAlignment="1" applyBorder="1" applyFont="1">
      <alignment horizontal="right" shrinkToFit="0" vertical="bottom" wrapText="0"/>
    </xf>
    <xf borderId="21" fillId="0" fontId="1" numFmtId="180" xfId="0" applyAlignment="1" applyBorder="1" applyFont="1" applyNumberFormat="1">
      <alignment shrinkToFit="0" vertical="bottom" wrapText="0"/>
    </xf>
    <xf borderId="57" fillId="0" fontId="1" numFmtId="0" xfId="0" applyAlignment="1" applyBorder="1" applyFont="1">
      <alignment shrinkToFit="0" vertical="bottom" wrapText="0"/>
    </xf>
    <xf borderId="8" fillId="0" fontId="1" numFmtId="177" xfId="0" applyAlignment="1" applyBorder="1" applyFont="1" applyNumberFormat="1">
      <alignment shrinkToFit="0" vertical="bottom" wrapText="0"/>
    </xf>
    <xf borderId="12" fillId="0" fontId="1" numFmtId="180" xfId="0" applyAlignment="1" applyBorder="1" applyFont="1" applyNumberFormat="1">
      <alignment shrinkToFit="0" vertical="bottom" wrapText="0"/>
    </xf>
    <xf borderId="39" fillId="0" fontId="12" numFmtId="165" xfId="0" applyAlignment="1" applyBorder="1" applyFont="1" applyNumberFormat="1">
      <alignment horizontal="right" shrinkToFit="0" vertical="bottom" wrapText="0"/>
    </xf>
    <xf borderId="14" fillId="0" fontId="12" numFmtId="165" xfId="0" applyAlignment="1" applyBorder="1" applyFont="1" applyNumberFormat="1">
      <alignment horizontal="right" shrinkToFit="0" vertical="bottom" wrapText="0"/>
    </xf>
    <xf borderId="58" fillId="0" fontId="1" numFmtId="0" xfId="0" applyAlignment="1" applyBorder="1" applyFont="1">
      <alignment horizontal="center" shrinkToFit="0" vertical="bottom" wrapText="0"/>
    </xf>
    <xf borderId="58" fillId="3" fontId="16" numFmtId="0" xfId="0" applyAlignment="1" applyBorder="1" applyFont="1">
      <alignment shrinkToFit="0" vertical="bottom" wrapText="0"/>
    </xf>
    <xf borderId="59" fillId="0" fontId="1" numFmtId="0" xfId="0" applyAlignment="1" applyBorder="1" applyFont="1">
      <alignment horizontal="right" shrinkToFit="0" vertical="bottom" wrapText="0"/>
    </xf>
    <xf borderId="60" fillId="0" fontId="6" numFmtId="177" xfId="0" applyAlignment="1" applyBorder="1" applyFont="1" applyNumberFormat="1">
      <alignment shrinkToFit="0" vertical="bottom" wrapText="0"/>
    </xf>
    <xf borderId="60" fillId="0" fontId="1" numFmtId="0" xfId="0" applyAlignment="1" applyBorder="1" applyFont="1">
      <alignment horizontal="right" shrinkToFit="0" vertical="bottom" wrapText="0"/>
    </xf>
    <xf borderId="8" fillId="0" fontId="1" numFmtId="175" xfId="0" applyAlignment="1" applyBorder="1" applyFont="1" applyNumberFormat="1">
      <alignment shrinkToFit="0" vertical="bottom" wrapText="0"/>
    </xf>
    <xf borderId="50" fillId="0" fontId="1" numFmtId="165" xfId="0" applyAlignment="1" applyBorder="1" applyFont="1" applyNumberFormat="1">
      <alignment shrinkToFit="0" vertical="bottom" wrapText="0"/>
    </xf>
    <xf borderId="61" fillId="0" fontId="1" numFmtId="0" xfId="0" applyAlignment="1" applyBorder="1" applyFont="1">
      <alignment horizontal="right" shrinkToFit="0" vertical="bottom" wrapText="0"/>
    </xf>
    <xf borderId="62" fillId="0" fontId="6" numFmtId="177" xfId="0" applyAlignment="1" applyBorder="1" applyFont="1" applyNumberFormat="1">
      <alignment shrinkToFit="0" vertical="bottom" wrapText="0"/>
    </xf>
    <xf borderId="62" fillId="0" fontId="1" numFmtId="0" xfId="0" applyAlignment="1" applyBorder="1" applyFont="1">
      <alignment horizontal="right" shrinkToFit="0" vertical="bottom" wrapText="0"/>
    </xf>
    <xf borderId="12" fillId="0" fontId="1" numFmtId="175" xfId="0" applyAlignment="1" applyBorder="1" applyFont="1" applyNumberFormat="1">
      <alignment shrinkToFit="0" vertical="bottom" wrapText="0"/>
    </xf>
    <xf borderId="0" fillId="0" fontId="1" numFmtId="175" xfId="0" applyAlignment="1" applyFont="1" applyNumberFormat="1">
      <alignment shrinkToFit="0" vertical="bottom" wrapText="0"/>
    </xf>
    <xf borderId="0" fillId="0" fontId="1" numFmtId="167" xfId="0" applyAlignment="1" applyFont="1" applyNumberFormat="1">
      <alignment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1" numFmtId="170" xfId="0" applyAlignment="1" applyFont="1" applyNumberFormat="1">
      <alignment shrinkToFit="0" vertical="bottom" wrapText="0"/>
    </xf>
    <xf borderId="45" fillId="3" fontId="16" numFmtId="0" xfId="0" applyAlignment="1" applyBorder="1" applyFont="1">
      <alignment shrinkToFit="0" vertical="bottom" wrapText="0"/>
    </xf>
    <xf borderId="0" fillId="0" fontId="1" numFmtId="181" xfId="0" applyAlignment="1" applyFont="1" applyNumberFormat="1">
      <alignment shrinkToFit="0" vertical="bottom" wrapText="0"/>
    </xf>
    <xf borderId="0" fillId="0" fontId="1" numFmtId="174" xfId="0" applyAlignment="1" applyFont="1" applyNumberFormat="1">
      <alignment shrinkToFit="0" vertical="bottom" wrapText="0"/>
    </xf>
    <xf borderId="8" fillId="0" fontId="1" numFmtId="0" xfId="0" applyAlignment="1" applyBorder="1" applyFont="1">
      <alignment horizontal="center" shrinkToFit="0" vertical="bottom" wrapText="0"/>
    </xf>
    <xf borderId="0" fillId="0" fontId="1" numFmtId="182" xfId="0" applyAlignment="1" applyFont="1" applyNumberFormat="1">
      <alignment shrinkToFit="0" vertical="bottom" wrapText="0"/>
    </xf>
    <xf borderId="45" fillId="3" fontId="1" numFmtId="0" xfId="0" applyAlignment="1" applyBorder="1" applyFont="1">
      <alignment horizontal="right" shrinkToFit="0" vertical="bottom" wrapText="0"/>
    </xf>
    <xf borderId="63" fillId="0" fontId="13" numFmtId="0" xfId="0" applyAlignment="1" applyBorder="1" applyFont="1">
      <alignment horizontal="center" shrinkToFit="0" vertical="bottom" wrapText="0"/>
    </xf>
    <xf borderId="59" fillId="0" fontId="17" numFmtId="0" xfId="0" applyAlignment="1" applyBorder="1" applyFont="1">
      <alignment horizontal="right" shrinkToFit="0" vertical="bottom" wrapText="0"/>
    </xf>
    <xf borderId="60" fillId="0" fontId="1" numFmtId="0" xfId="0" applyAlignment="1" applyBorder="1" applyFont="1">
      <alignment horizontal="center" shrinkToFit="0" vertical="bottom" wrapText="0"/>
    </xf>
    <xf borderId="42" fillId="0" fontId="1" numFmtId="0" xfId="0" applyAlignment="1" applyBorder="1" applyFont="1">
      <alignment shrinkToFit="0" vertical="bottom" wrapText="0"/>
    </xf>
    <xf borderId="0" fillId="0" fontId="1" numFmtId="176" xfId="0" applyAlignment="1" applyFont="1" applyNumberFormat="1">
      <alignment shrinkToFit="0" vertical="bottom" wrapText="0"/>
    </xf>
    <xf borderId="32" fillId="0" fontId="1" numFmtId="0" xfId="0" applyAlignment="1" applyBorder="1" applyFont="1">
      <alignment shrinkToFit="0" vertical="bottom" wrapText="0"/>
    </xf>
    <xf borderId="0" fillId="0" fontId="1" numFmtId="183" xfId="0" applyAlignment="1" applyFont="1" applyNumberFormat="1">
      <alignment shrinkToFit="0" vertical="bottom" wrapText="0"/>
    </xf>
    <xf borderId="9" fillId="0" fontId="1" numFmtId="175" xfId="0" applyAlignment="1" applyBorder="1" applyFont="1" applyNumberFormat="1">
      <alignment horizontal="right" shrinkToFit="0" vertical="bottom" wrapText="0"/>
    </xf>
    <xf borderId="26" fillId="0" fontId="1" numFmtId="0" xfId="0" applyAlignment="1" applyBorder="1" applyFont="1">
      <alignment horizontal="left" shrinkToFit="0" vertical="bottom" wrapText="0"/>
    </xf>
    <xf borderId="32" fillId="0" fontId="17" numFmtId="0" xfId="0" applyAlignment="1" applyBorder="1" applyFont="1">
      <alignment horizontal="right" shrinkToFit="0" vertical="bottom" wrapText="0"/>
    </xf>
    <xf borderId="29" fillId="0" fontId="1" numFmtId="169" xfId="0" applyAlignment="1" applyBorder="1" applyFont="1" applyNumberFormat="1">
      <alignment shrinkToFit="0" vertical="bottom" wrapText="0"/>
    </xf>
    <xf borderId="29" fillId="0" fontId="1" numFmtId="167" xfId="0" applyAlignment="1" applyBorder="1" applyFont="1" applyNumberFormat="1">
      <alignment shrinkToFit="0" vertical="bottom" wrapText="0"/>
    </xf>
    <xf borderId="46" fillId="0" fontId="8" numFmtId="0" xfId="0" applyBorder="1" applyFont="1"/>
    <xf borderId="0" fillId="0" fontId="1" numFmtId="184" xfId="0" applyAlignment="1" applyFont="1" applyNumberFormat="1">
      <alignment shrinkToFit="0" vertical="bottom" wrapText="0"/>
    </xf>
    <xf borderId="48" fillId="0" fontId="1" numFmtId="185" xfId="0" applyAlignment="1" applyBorder="1" applyFont="1" applyNumberFormat="1">
      <alignment shrinkToFit="0" vertical="bottom" wrapText="0"/>
    </xf>
    <xf borderId="11" fillId="0" fontId="1" numFmtId="185" xfId="0" applyAlignment="1" applyBorder="1" applyFont="1" applyNumberFormat="1">
      <alignment shrinkToFit="0" vertical="bottom" wrapText="0"/>
    </xf>
    <xf borderId="11" fillId="0" fontId="18" numFmtId="0" xfId="0" applyAlignment="1" applyBorder="1" applyFont="1">
      <alignment horizontal="center" shrinkToFit="0" vertical="bottom" wrapText="0"/>
    </xf>
    <xf borderId="64" fillId="0" fontId="12" numFmtId="1" xfId="0" applyAlignment="1" applyBorder="1" applyFont="1" applyNumberFormat="1">
      <alignment horizontal="center" shrinkToFit="0" vertical="bottom" wrapText="0"/>
    </xf>
    <xf borderId="50" fillId="0" fontId="12" numFmtId="186" xfId="0" applyAlignment="1" applyBorder="1" applyFont="1" applyNumberFormat="1">
      <alignment horizontal="center" shrinkToFit="0" vertical="bottom" wrapText="0"/>
    </xf>
    <xf borderId="65" fillId="0" fontId="1" numFmtId="0" xfId="0" applyAlignment="1" applyBorder="1" applyFont="1">
      <alignment horizontal="right" shrinkToFit="0" vertical="bottom" wrapText="0"/>
    </xf>
    <xf borderId="66" fillId="0" fontId="1" numFmtId="175" xfId="0" applyAlignment="1" applyBorder="1" applyFont="1" applyNumberFormat="1">
      <alignment horizontal="right" shrinkToFit="0" vertical="bottom" wrapText="0"/>
    </xf>
    <xf borderId="67" fillId="0" fontId="1" numFmtId="0" xfId="0" applyAlignment="1" applyBorder="1" applyFont="1">
      <alignment shrinkToFit="0" vertical="bottom" wrapText="0"/>
    </xf>
    <xf borderId="61" fillId="0" fontId="17" numFmtId="0" xfId="0" applyAlignment="1" applyBorder="1" applyFont="1">
      <alignment horizontal="right" shrinkToFit="0" vertical="bottom" wrapText="0"/>
    </xf>
    <xf borderId="62" fillId="0" fontId="1" numFmtId="0" xfId="0" applyAlignment="1" applyBorder="1" applyFont="1">
      <alignment horizontal="center" shrinkToFit="0" vertical="bottom" wrapText="0"/>
    </xf>
    <xf borderId="37" fillId="0" fontId="1" numFmtId="167" xfId="0" applyAlignment="1" applyBorder="1" applyFont="1" applyNumberFormat="1">
      <alignment shrinkToFit="0" vertical="bottom" wrapText="0"/>
    </xf>
    <xf borderId="0" fillId="0" fontId="1" numFmtId="175" xfId="0" applyAlignment="1" applyFont="1" applyNumberFormat="1">
      <alignment horizontal="right" shrinkToFit="0" vertical="bottom" wrapText="0"/>
    </xf>
    <xf borderId="0" fillId="0" fontId="17" numFmtId="0" xfId="0" applyAlignment="1" applyFont="1">
      <alignment horizontal="right" shrinkToFit="0" vertical="bottom" wrapText="0"/>
    </xf>
    <xf borderId="68" fillId="3" fontId="1" numFmtId="0" xfId="0" applyAlignment="1" applyBorder="1" applyFont="1">
      <alignment shrinkToFit="0" vertical="bottom" wrapText="0"/>
    </xf>
    <xf borderId="63" fillId="0" fontId="1" numFmtId="0" xfId="0" applyAlignment="1" applyBorder="1" applyFont="1">
      <alignment horizontal="center" shrinkToFit="0" vertical="bottom" wrapText="0"/>
    </xf>
    <xf borderId="45" fillId="0" fontId="1" numFmtId="0" xfId="0" applyAlignment="1" applyBorder="1" applyFont="1">
      <alignment horizontal="center" shrinkToFit="0" vertical="bottom" wrapText="0"/>
    </xf>
    <xf borderId="8" fillId="0" fontId="1" numFmtId="184" xfId="0" applyAlignment="1" applyBorder="1" applyFont="1" applyNumberFormat="1">
      <alignment shrinkToFit="0" vertical="bottom" wrapText="0"/>
    </xf>
    <xf borderId="29" fillId="0" fontId="1" numFmtId="167" xfId="0" applyAlignment="1" applyBorder="1" applyFont="1" applyNumberFormat="1">
      <alignment horizontal="center" shrinkToFit="0" vertical="bottom" wrapText="0"/>
    </xf>
    <xf borderId="59" fillId="0" fontId="12" numFmtId="1" xfId="0" applyAlignment="1" applyBorder="1" applyFont="1" applyNumberFormat="1">
      <alignment horizontal="center" shrinkToFit="0" vertical="bottom" wrapText="0"/>
    </xf>
    <xf borderId="60" fillId="0" fontId="12" numFmtId="1" xfId="0" applyAlignment="1" applyBorder="1" applyFont="1" applyNumberFormat="1">
      <alignment horizontal="center" shrinkToFit="0" vertical="bottom" wrapText="0"/>
    </xf>
    <xf borderId="8" fillId="0" fontId="12" numFmtId="173" xfId="0" applyAlignment="1" applyBorder="1" applyFont="1" applyNumberFormat="1">
      <alignment horizontal="center" shrinkToFit="0" vertical="bottom" wrapText="0"/>
    </xf>
    <xf borderId="12" fillId="0" fontId="1" numFmtId="184" xfId="0" applyAlignment="1" applyBorder="1" applyFont="1" applyNumberFormat="1">
      <alignment shrinkToFit="0" vertical="bottom" wrapText="0"/>
    </xf>
    <xf borderId="53" fillId="0" fontId="12" numFmtId="1" xfId="0" applyAlignment="1" applyBorder="1" applyFont="1" applyNumberFormat="1">
      <alignment horizontal="center" shrinkToFit="0" vertical="bottom" wrapText="0"/>
    </xf>
    <xf borderId="62" fillId="0" fontId="12" numFmtId="1" xfId="0" applyAlignment="1" applyBorder="1" applyFont="1" applyNumberFormat="1">
      <alignment horizontal="center" shrinkToFit="0" vertical="bottom" wrapText="0"/>
    </xf>
    <xf borderId="50" fillId="0" fontId="12" numFmtId="173" xfId="0" applyAlignment="1" applyBorder="1" applyFont="1" applyNumberFormat="1">
      <alignment horizontal="center" shrinkToFit="0" vertical="bottom" wrapText="0"/>
    </xf>
    <xf borderId="0" fillId="0" fontId="1" numFmtId="177" xfId="0" applyAlignment="1" applyFont="1" applyNumberFormat="1">
      <alignment shrinkToFit="0" vertical="bottom" wrapText="0"/>
    </xf>
    <xf borderId="0" fillId="0" fontId="1" numFmtId="0" xfId="0" applyAlignment="1" applyFont="1">
      <alignment horizontal="left" shrinkToFit="0" vertical="bottom" wrapText="0"/>
    </xf>
    <xf borderId="21" fillId="0" fontId="1" numFmtId="170" xfId="0" applyAlignment="1" applyBorder="1" applyFont="1" applyNumberFormat="1">
      <alignment shrinkToFit="0" vertical="bottom" wrapText="0"/>
    </xf>
    <xf borderId="13" fillId="0" fontId="1" numFmtId="173" xfId="0" applyAlignment="1" applyBorder="1" applyFont="1" applyNumberFormat="1">
      <alignment shrinkToFit="0" vertical="bottom" wrapText="0"/>
    </xf>
    <xf borderId="69" fillId="4" fontId="1" numFmtId="0" xfId="0" applyAlignment="1" applyBorder="1" applyFill="1" applyFont="1">
      <alignment shrinkToFit="0" vertical="bottom" wrapText="0"/>
    </xf>
    <xf borderId="70" fillId="4" fontId="1" numFmtId="0" xfId="0" applyAlignment="1" applyBorder="1" applyFont="1">
      <alignment shrinkToFit="0" vertical="bottom" wrapText="0"/>
    </xf>
    <xf borderId="27" fillId="0" fontId="1" numFmtId="165" xfId="0" applyAlignment="1" applyBorder="1" applyFont="1" applyNumberFormat="1">
      <alignment shrinkToFit="0" vertical="bottom" wrapText="0"/>
    </xf>
    <xf borderId="0" fillId="0" fontId="1" numFmtId="173" xfId="0" applyAlignment="1" applyFont="1" applyNumberFormat="1">
      <alignment shrinkToFit="0" vertical="bottom" wrapText="0"/>
    </xf>
    <xf borderId="0" fillId="0" fontId="1" numFmtId="186" xfId="0" applyAlignment="1" applyFont="1" applyNumberFormat="1">
      <alignment shrinkToFit="0" vertical="bottom" wrapText="0"/>
    </xf>
    <xf borderId="27" fillId="0" fontId="1" numFmtId="187" xfId="0" applyAlignment="1" applyBorder="1" applyFont="1" applyNumberFormat="1">
      <alignment shrinkToFit="0" vertical="bottom" wrapText="0"/>
    </xf>
    <xf borderId="71" fillId="0" fontId="1" numFmtId="0" xfId="0" applyAlignment="1" applyBorder="1" applyFont="1">
      <alignment shrinkToFit="0" vertical="bottom" wrapText="0"/>
    </xf>
    <xf borderId="72" fillId="0" fontId="1" numFmtId="177" xfId="0" applyAlignment="1" applyBorder="1" applyFont="1" applyNumberFormat="1">
      <alignment shrinkToFit="0" vertical="bottom" wrapText="0"/>
    </xf>
    <xf borderId="30" fillId="0" fontId="1" numFmtId="187" xfId="0" applyAlignment="1" applyBorder="1" applyFont="1" applyNumberFormat="1">
      <alignment shrinkToFit="0" vertical="bottom" wrapText="0"/>
    </xf>
    <xf borderId="37" fillId="0" fontId="1" numFmtId="170" xfId="0" applyAlignment="1" applyBorder="1" applyFont="1" applyNumberFormat="1">
      <alignment shrinkToFit="0" vertical="bottom" wrapText="0"/>
    </xf>
    <xf borderId="59" fillId="0" fontId="7" numFmtId="0" xfId="0" applyAlignment="1" applyBorder="1" applyFont="1">
      <alignment horizontal="right" shrinkToFit="0" vertical="bottom" wrapText="0"/>
    </xf>
    <xf borderId="8" fillId="0" fontId="1" numFmtId="182" xfId="0" applyAlignment="1" applyBorder="1" applyFont="1" applyNumberFormat="1">
      <alignment shrinkToFit="0" vertical="bottom" wrapText="0"/>
    </xf>
    <xf borderId="29" fillId="0" fontId="1" numFmtId="174" xfId="0" applyAlignment="1" applyBorder="1" applyFont="1" applyNumberFormat="1">
      <alignment horizontal="center" shrinkToFit="0" vertical="bottom" wrapText="0"/>
    </xf>
    <xf borderId="8" fillId="0" fontId="12" numFmtId="173" xfId="0" applyAlignment="1" applyBorder="1" applyFont="1" applyNumberFormat="1">
      <alignment shrinkToFit="0" vertical="bottom" wrapText="0"/>
    </xf>
    <xf borderId="0" fillId="0" fontId="1" numFmtId="188" xfId="0" applyAlignment="1" applyFont="1" applyNumberFormat="1">
      <alignment shrinkToFit="0" vertical="bottom" wrapText="0"/>
    </xf>
    <xf borderId="32" fillId="0" fontId="7" numFmtId="0" xfId="0" applyAlignment="1" applyBorder="1" applyFont="1">
      <alignment horizontal="right" shrinkToFit="0" vertical="bottom" wrapText="0"/>
    </xf>
    <xf borderId="32" fillId="0" fontId="12" numFmtId="1" xfId="0" applyAlignment="1" applyBorder="1" applyFont="1" applyNumberFormat="1">
      <alignment horizontal="center" shrinkToFit="0" vertical="bottom" wrapText="0"/>
    </xf>
    <xf borderId="9" fillId="0" fontId="12" numFmtId="1" xfId="0" applyAlignment="1" applyBorder="1" applyFont="1" applyNumberFormat="1">
      <alignment horizontal="center" shrinkToFit="0" vertical="bottom" wrapText="0"/>
    </xf>
    <xf borderId="26" fillId="0" fontId="12" numFmtId="173" xfId="0" applyAlignment="1" applyBorder="1" applyFont="1" applyNumberFormat="1">
      <alignment shrinkToFit="0" vertical="bottom" wrapText="0"/>
    </xf>
    <xf borderId="12" fillId="0" fontId="1" numFmtId="173" xfId="0" applyAlignment="1" applyBorder="1" applyFont="1" applyNumberFormat="1">
      <alignment shrinkToFit="0" vertical="bottom" wrapText="0"/>
    </xf>
    <xf borderId="37" fillId="0" fontId="1" numFmtId="0" xfId="0" applyAlignment="1" applyBorder="1" applyFont="1">
      <alignment shrinkToFit="0" vertical="bottom" wrapText="0"/>
    </xf>
    <xf borderId="61" fillId="0" fontId="1" numFmtId="0" xfId="0" applyAlignment="1" applyBorder="1" applyFont="1">
      <alignment shrinkToFit="0" vertical="bottom" wrapText="0"/>
    </xf>
    <xf borderId="62" fillId="0" fontId="1" numFmtId="0" xfId="0" applyAlignment="1" applyBorder="1" applyFont="1">
      <alignment shrinkToFit="0" vertical="bottom" wrapText="0"/>
    </xf>
    <xf borderId="0" fillId="0" fontId="1" numFmtId="3" xfId="0" applyAlignment="1" applyFont="1" applyNumberFormat="1">
      <alignment shrinkToFit="0" vertical="bottom" wrapText="0"/>
    </xf>
    <xf borderId="73" fillId="0" fontId="10" numFmtId="0" xfId="0" applyAlignment="1" applyBorder="1" applyFont="1">
      <alignment horizontal="center" shrinkToFit="0" vertical="bottom" wrapText="0"/>
    </xf>
    <xf borderId="74" fillId="0" fontId="8" numFmtId="0" xfId="0" applyBorder="1" applyFont="1"/>
    <xf borderId="55" fillId="0" fontId="8" numFmtId="0" xfId="0" applyBorder="1" applyFont="1"/>
    <xf borderId="1" fillId="0" fontId="10" numFmtId="0" xfId="0" applyAlignment="1" applyBorder="1" applyFont="1">
      <alignment horizontal="center" shrinkToFit="0" vertical="bottom" wrapText="0"/>
    </xf>
    <xf borderId="75" fillId="0" fontId="8" numFmtId="0" xfId="0" applyBorder="1" applyFont="1"/>
    <xf borderId="2" fillId="0" fontId="8" numFmtId="0" xfId="0" applyBorder="1" applyFont="1"/>
    <xf borderId="0" fillId="0" fontId="10" numFmtId="0" xfId="0" applyAlignment="1" applyFont="1">
      <alignment horizontal="center" shrinkToFit="0" vertical="bottom" wrapText="0"/>
    </xf>
    <xf borderId="68" fillId="5" fontId="5" numFmtId="0" xfId="0" applyAlignment="1" applyBorder="1" applyFill="1" applyFont="1">
      <alignment horizontal="center" shrinkToFit="0" vertical="bottom" wrapText="0"/>
    </xf>
    <xf borderId="76" fillId="6" fontId="1" numFmtId="0" xfId="0" applyAlignment="1" applyBorder="1" applyFill="1" applyFont="1">
      <alignment shrinkToFit="0" vertical="bottom" wrapText="0"/>
    </xf>
    <xf borderId="68" fillId="6" fontId="1" numFmtId="0" xfId="0" applyAlignment="1" applyBorder="1" applyFont="1">
      <alignment shrinkToFit="0" vertical="bottom" wrapText="0"/>
    </xf>
    <xf borderId="1" fillId="0" fontId="13" numFmtId="0" xfId="0" applyAlignment="1" applyBorder="1" applyFont="1">
      <alignment horizontal="center" shrinkToFit="0" vertical="center" wrapText="0"/>
    </xf>
    <xf borderId="75" fillId="0" fontId="13" numFmtId="0" xfId="0" applyAlignment="1" applyBorder="1" applyFont="1">
      <alignment horizontal="center" shrinkToFit="0" vertical="center" wrapText="0"/>
    </xf>
    <xf borderId="2" fillId="0" fontId="13" numFmtId="0" xfId="0" applyAlignment="1" applyBorder="1" applyFont="1">
      <alignment horizontal="center" shrinkToFit="0" vertical="center" wrapText="0"/>
    </xf>
    <xf borderId="75" fillId="0" fontId="1" numFmtId="0" xfId="0" applyAlignment="1" applyBorder="1" applyFont="1">
      <alignment shrinkToFit="0" vertical="bottom" wrapText="0"/>
    </xf>
    <xf borderId="77" fillId="6" fontId="13" numFmtId="0" xfId="0" applyAlignment="1" applyBorder="1" applyFont="1">
      <alignment horizontal="center" shrinkToFit="0" vertical="bottom" wrapText="0"/>
    </xf>
    <xf borderId="78" fillId="0" fontId="8" numFmtId="0" xfId="0" applyBorder="1" applyFont="1"/>
    <xf borderId="79" fillId="0" fontId="8" numFmtId="0" xfId="0" applyBorder="1" applyFont="1"/>
    <xf borderId="10" fillId="0" fontId="13" numFmtId="0" xfId="0" applyAlignment="1" applyBorder="1" applyFont="1">
      <alignment horizontal="center" shrinkToFit="0" vertical="center" wrapText="0"/>
    </xf>
    <xf borderId="0" fillId="0" fontId="13" numFmtId="0" xfId="0" applyAlignment="1" applyFont="1">
      <alignment horizontal="center" shrinkToFit="0" vertical="center" wrapText="0"/>
    </xf>
    <xf borderId="21" fillId="0" fontId="13" numFmtId="0" xfId="0" applyAlignment="1" applyBorder="1" applyFont="1">
      <alignment horizontal="center" shrinkToFit="0" vertical="center" wrapText="0"/>
    </xf>
    <xf borderId="21" fillId="0" fontId="1" numFmtId="0" xfId="0" applyAlignment="1" applyBorder="1" applyFont="1">
      <alignment horizontal="center" shrinkToFit="0" vertical="bottom" wrapText="0"/>
    </xf>
    <xf borderId="0" fillId="0" fontId="16" numFmtId="0" xfId="0" applyAlignment="1" applyFont="1">
      <alignment shrinkToFit="0" vertical="bottom" wrapText="0"/>
    </xf>
    <xf borderId="77" fillId="6" fontId="1" numFmtId="0" xfId="0" applyAlignment="1" applyBorder="1" applyFont="1">
      <alignment horizontal="center" shrinkToFit="0" vertical="bottom" wrapText="0"/>
    </xf>
    <xf borderId="10" fillId="0" fontId="19" numFmtId="0" xfId="0" applyAlignment="1" applyBorder="1" applyFont="1">
      <alignment horizontal="left" shrinkToFit="0" vertical="center" wrapText="0"/>
    </xf>
    <xf borderId="0" fillId="0" fontId="20" numFmtId="0" xfId="0" applyAlignment="1" applyFont="1">
      <alignment shrinkToFit="0" vertical="bottom" wrapText="0"/>
    </xf>
    <xf borderId="21" fillId="0" fontId="20" numFmtId="0" xfId="0" applyAlignment="1" applyBorder="1" applyFont="1">
      <alignment shrinkToFit="0" vertical="bottom" wrapText="0"/>
    </xf>
    <xf borderId="76" fillId="6" fontId="21" numFmtId="0" xfId="0" applyAlignment="1" applyBorder="1" applyFont="1">
      <alignment shrinkToFit="0" vertical="bottom" wrapText="0"/>
    </xf>
    <xf borderId="68" fillId="6" fontId="21" numFmtId="0" xfId="0" applyAlignment="1" applyBorder="1" applyFont="1">
      <alignment shrinkToFit="0" vertical="bottom" wrapText="0"/>
    </xf>
    <xf borderId="11" fillId="0" fontId="1" numFmtId="0" xfId="0" applyAlignment="1" applyBorder="1" applyFont="1">
      <alignment shrinkToFit="0" vertical="bottom" wrapText="0"/>
    </xf>
    <xf borderId="33" fillId="0" fontId="20" numFmtId="0" xfId="0" applyAlignment="1" applyBorder="1" applyFont="1">
      <alignment shrinkToFit="0" vertical="bottom" wrapText="0"/>
    </xf>
    <xf borderId="24" fillId="0" fontId="20" numFmtId="0" xfId="0" applyAlignment="1" applyBorder="1" applyFont="1">
      <alignment shrinkToFit="0" vertical="bottom" wrapText="0"/>
    </xf>
    <xf borderId="80" fillId="6" fontId="9" numFmtId="0" xfId="0" applyAlignment="1" applyBorder="1" applyFont="1">
      <alignment horizontal="left" shrinkToFit="0" vertical="top" wrapText="0"/>
    </xf>
    <xf borderId="81" fillId="5" fontId="5" numFmtId="0" xfId="0" applyAlignment="1" applyBorder="1" applyFont="1">
      <alignment horizontal="center" shrinkToFit="0" vertical="bottom" wrapText="0"/>
    </xf>
    <xf borderId="16" fillId="0" fontId="22" numFmtId="0" xfId="0" applyAlignment="1" applyBorder="1" applyFont="1">
      <alignment horizontal="center" shrinkToFit="0" vertical="bottom" wrapText="0"/>
    </xf>
    <xf borderId="24" fillId="0" fontId="1" numFmtId="0" xfId="0" applyAlignment="1" applyBorder="1" applyFont="1">
      <alignment shrinkToFit="0" vertical="bottom" wrapText="0"/>
    </xf>
    <xf borderId="82" fillId="0" fontId="23" numFmtId="0" xfId="0" applyAlignment="1" applyBorder="1" applyFont="1">
      <alignment horizontal="center" shrinkToFit="0" vertical="bottom" wrapText="0"/>
    </xf>
    <xf borderId="82" fillId="0" fontId="1" numFmtId="0" xfId="0" applyAlignment="1" applyBorder="1" applyFont="1">
      <alignment shrinkToFit="0" vertical="bottom" wrapText="0"/>
    </xf>
    <xf borderId="76" fillId="7" fontId="1" numFmtId="0" xfId="0" applyAlignment="1" applyBorder="1" applyFill="1" applyFont="1">
      <alignment shrinkToFit="0" vertical="bottom" wrapText="0"/>
    </xf>
    <xf borderId="68" fillId="7" fontId="1" numFmtId="0" xfId="0" applyAlignment="1" applyBorder="1" applyFont="1">
      <alignment shrinkToFit="0" vertical="bottom" wrapText="0"/>
    </xf>
    <xf borderId="60" fillId="0" fontId="13" numFmtId="0" xfId="0" applyAlignment="1" applyBorder="1" applyFont="1">
      <alignment horizontal="center" shrinkToFit="0" vertical="bottom" wrapText="0"/>
    </xf>
    <xf borderId="83" fillId="0" fontId="19" numFmtId="0" xfId="0" applyAlignment="1" applyBorder="1" applyFont="1">
      <alignment horizontal="center" shrinkToFit="0" vertical="bottom" wrapText="0"/>
    </xf>
    <xf borderId="84" fillId="0" fontId="10" numFmtId="0" xfId="0" applyAlignment="1" applyBorder="1" applyFont="1">
      <alignment horizontal="center" shrinkToFit="0" vertical="bottom" wrapText="0"/>
    </xf>
    <xf borderId="85" fillId="0" fontId="13" numFmtId="0" xfId="0" applyAlignment="1" applyBorder="1" applyFont="1">
      <alignment horizontal="center" shrinkToFit="0" vertical="bottom" wrapText="0"/>
    </xf>
    <xf borderId="86" fillId="0" fontId="8" numFmtId="0" xfId="0" applyBorder="1" applyFont="1"/>
    <xf borderId="87" fillId="0" fontId="8" numFmtId="0" xfId="0" applyBorder="1" applyFont="1"/>
    <xf borderId="0" fillId="0" fontId="24" numFmtId="0" xfId="0" applyAlignment="1" applyFont="1">
      <alignment horizontal="center" shrinkToFit="0" vertical="top" wrapText="0"/>
    </xf>
    <xf borderId="80" fillId="7" fontId="13" numFmtId="0" xfId="0" applyAlignment="1" applyBorder="1" applyFont="1">
      <alignment horizontal="right" shrinkToFit="0" vertical="bottom" wrapText="0"/>
    </xf>
    <xf borderId="88" fillId="0" fontId="8" numFmtId="0" xfId="0" applyBorder="1" applyFont="1"/>
    <xf borderId="9" fillId="3" fontId="6" numFmtId="0" xfId="0" applyAlignment="1" applyBorder="1" applyFont="1">
      <alignment horizontal="center" shrinkToFit="0" vertical="bottom" wrapText="0"/>
    </xf>
    <xf borderId="9" fillId="3" fontId="6" numFmtId="164" xfId="0" applyAlignment="1" applyBorder="1" applyFont="1" applyNumberFormat="1">
      <alignment horizontal="center" shrinkToFit="0" vertical="bottom" wrapText="0"/>
    </xf>
    <xf borderId="68" fillId="7" fontId="13" numFmtId="0" xfId="0" applyAlignment="1" applyBorder="1" applyFont="1">
      <alignment horizontal="right" shrinkToFit="0" vertical="bottom" wrapText="0"/>
    </xf>
    <xf borderId="89" fillId="8" fontId="25" numFmtId="175" xfId="0" applyAlignment="1" applyBorder="1" applyFill="1" applyFont="1" applyNumberFormat="1">
      <alignment horizontal="center" shrinkToFit="0" vertical="bottom" wrapText="0"/>
    </xf>
    <xf borderId="90" fillId="8" fontId="25" numFmtId="175" xfId="0" applyAlignment="1" applyBorder="1" applyFont="1" applyNumberFormat="1">
      <alignment horizontal="center" shrinkToFit="0" vertical="bottom" wrapText="0"/>
    </xf>
    <xf borderId="91" fillId="0" fontId="8" numFmtId="0" xfId="0" applyBorder="1" applyFont="1"/>
    <xf borderId="9" fillId="5" fontId="13" numFmtId="0" xfId="0" applyAlignment="1" applyBorder="1" applyFont="1">
      <alignment horizontal="center" shrinkToFit="0" vertical="bottom" wrapText="0"/>
    </xf>
    <xf borderId="81" fillId="7" fontId="1" numFmtId="0" xfId="0" applyAlignment="1" applyBorder="1" applyFont="1">
      <alignment shrinkToFit="0" vertical="bottom" wrapText="0"/>
    </xf>
    <xf borderId="9" fillId="8" fontId="25" numFmtId="175" xfId="0" applyAlignment="1" applyBorder="1" applyFont="1" applyNumberFormat="1">
      <alignment horizontal="center" shrinkToFit="0" vertical="bottom" wrapText="0"/>
    </xf>
    <xf borderId="13" fillId="8" fontId="25" numFmtId="175" xfId="0" applyAlignment="1" applyBorder="1" applyFont="1" applyNumberFormat="1">
      <alignment horizontal="center" shrinkToFit="0" vertical="bottom" wrapText="0"/>
    </xf>
    <xf borderId="76" fillId="7" fontId="14" numFmtId="0" xfId="0" applyAlignment="1" applyBorder="1" applyFont="1">
      <alignment horizontal="right" shrinkToFit="0" vertical="bottom" wrapText="0"/>
    </xf>
    <xf borderId="9" fillId="3" fontId="6" numFmtId="173" xfId="0" applyAlignment="1" applyBorder="1" applyFont="1" applyNumberFormat="1">
      <alignment horizontal="center" shrinkToFit="0" vertical="bottom" wrapText="0"/>
    </xf>
    <xf borderId="81" fillId="7" fontId="26" numFmtId="0" xfId="0" applyAlignment="1" applyBorder="1" applyFont="1">
      <alignment shrinkToFit="0" vertical="bottom" wrapText="0"/>
    </xf>
    <xf borderId="0" fillId="0" fontId="27" numFmtId="0" xfId="0" applyAlignment="1" applyFont="1">
      <alignment shrinkToFit="0" vertical="bottom" wrapText="0"/>
    </xf>
    <xf borderId="9" fillId="8" fontId="25" numFmtId="1" xfId="0" applyAlignment="1" applyBorder="1" applyFont="1" applyNumberFormat="1">
      <alignment horizontal="center" shrinkToFit="0" vertical="bottom" wrapText="0"/>
    </xf>
    <xf borderId="13" fillId="8" fontId="25" numFmtId="0" xfId="0" applyAlignment="1" applyBorder="1" applyFont="1">
      <alignment horizontal="center" shrinkToFit="0" vertical="bottom" wrapText="0"/>
    </xf>
    <xf borderId="92" fillId="3" fontId="6" numFmtId="0" xfId="0" applyAlignment="1" applyBorder="1" applyFont="1">
      <alignment horizontal="center" shrinkToFit="0" vertical="bottom" wrapText="0"/>
    </xf>
    <xf borderId="92" fillId="3" fontId="6" numFmtId="173" xfId="0" applyAlignment="1" applyBorder="1" applyFont="1" applyNumberFormat="1">
      <alignment horizontal="center" shrinkToFit="0" vertical="bottom" wrapText="0"/>
    </xf>
    <xf borderId="0" fillId="0" fontId="28" numFmtId="0" xfId="0" applyAlignment="1" applyFont="1">
      <alignment horizontal="right" shrinkToFit="0" vertical="bottom" wrapText="0"/>
    </xf>
    <xf borderId="9" fillId="0" fontId="29" numFmtId="0" xfId="0" applyAlignment="1" applyBorder="1" applyFont="1">
      <alignment shrinkToFit="0" vertical="bottom" wrapText="0"/>
    </xf>
    <xf borderId="13" fillId="0" fontId="13" numFmtId="0" xfId="0" applyAlignment="1" applyBorder="1" applyFont="1">
      <alignment horizontal="center" shrinkToFit="0" vertical="bottom" wrapText="0"/>
    </xf>
    <xf borderId="9" fillId="0" fontId="13" numFmtId="0" xfId="0" applyAlignment="1" applyBorder="1" applyFont="1">
      <alignment horizontal="center" shrinkToFit="0" vertical="bottom" wrapText="0"/>
    </xf>
    <xf borderId="68" fillId="7" fontId="30" numFmtId="0" xfId="0" applyAlignment="1" applyBorder="1" applyFont="1">
      <alignment horizontal="center" shrinkToFit="0" vertical="bottom" wrapText="0"/>
    </xf>
    <xf borderId="76" fillId="7" fontId="13" numFmtId="0" xfId="0" applyAlignment="1" applyBorder="1" applyFont="1">
      <alignment horizontal="right" shrinkToFit="0" vertical="bottom" wrapText="0"/>
    </xf>
    <xf borderId="9" fillId="8" fontId="25" numFmtId="189" xfId="0" applyAlignment="1" applyBorder="1" applyFont="1" applyNumberFormat="1">
      <alignment horizontal="center" shrinkToFit="0" vertical="bottom" wrapText="0"/>
    </xf>
    <xf borderId="93" fillId="8" fontId="25" numFmtId="189" xfId="0" applyAlignment="1" applyBorder="1" applyFont="1" applyNumberFormat="1">
      <alignment horizontal="center" shrinkToFit="0" vertical="bottom" wrapText="0"/>
    </xf>
    <xf borderId="94" fillId="0" fontId="8" numFmtId="0" xfId="0" applyBorder="1" applyFont="1"/>
    <xf borderId="76" fillId="7" fontId="15" numFmtId="0" xfId="0" applyAlignment="1" applyBorder="1" applyFont="1">
      <alignment horizontal="right" shrinkToFit="0" vertical="bottom" wrapText="0"/>
    </xf>
    <xf borderId="13" fillId="3" fontId="6" numFmtId="190" xfId="0" applyAlignment="1" applyBorder="1" applyFont="1" applyNumberFormat="1">
      <alignment horizontal="center" shrinkToFit="0" vertical="bottom" wrapText="0"/>
    </xf>
    <xf borderId="68" fillId="7" fontId="6" numFmtId="191" xfId="0" applyAlignment="1" applyBorder="1" applyFont="1" applyNumberFormat="1">
      <alignment horizontal="center" shrinkToFit="0" vertical="bottom" wrapText="0"/>
    </xf>
    <xf borderId="76" fillId="7" fontId="31" numFmtId="0" xfId="0" applyAlignment="1" applyBorder="1" applyFont="1">
      <alignment horizontal="right" shrinkToFit="0" vertical="bottom" wrapText="0"/>
    </xf>
    <xf borderId="62" fillId="5" fontId="25" numFmtId="0" xfId="0" applyAlignment="1" applyBorder="1" applyFont="1">
      <alignment horizontal="center" shrinkToFit="0" vertical="bottom" wrapText="0"/>
    </xf>
    <xf borderId="95" fillId="8" fontId="25" numFmtId="1" xfId="0" applyAlignment="1" applyBorder="1" applyFont="1" applyNumberFormat="1">
      <alignment horizontal="center" shrinkToFit="0" vertical="bottom" wrapText="0"/>
    </xf>
    <xf borderId="92" fillId="8" fontId="25" numFmtId="1" xfId="0" applyAlignment="1" applyBorder="1" applyFont="1" applyNumberFormat="1">
      <alignment horizontal="center" shrinkToFit="0" vertical="bottom" wrapText="0"/>
    </xf>
    <xf borderId="92" fillId="8" fontId="25" numFmtId="164" xfId="0" applyAlignment="1" applyBorder="1" applyFont="1" applyNumberFormat="1">
      <alignment shrinkToFit="0" vertical="bottom" wrapText="0"/>
    </xf>
    <xf borderId="68" fillId="7" fontId="26" numFmtId="164" xfId="0" applyAlignment="1" applyBorder="1" applyFont="1" applyNumberFormat="1">
      <alignment shrinkToFit="0" vertical="bottom" wrapText="0"/>
    </xf>
    <xf borderId="92" fillId="8" fontId="25" numFmtId="174" xfId="0" applyAlignment="1" applyBorder="1" applyFont="1" applyNumberFormat="1">
      <alignment horizontal="center" shrinkToFit="0" vertical="center" wrapText="0"/>
    </xf>
    <xf borderId="68" fillId="7" fontId="32" numFmtId="0" xfId="0" applyAlignment="1" applyBorder="1" applyFont="1">
      <alignment horizontal="center" shrinkToFit="0" vertical="bottom" wrapText="0"/>
    </xf>
    <xf borderId="81" fillId="7" fontId="32" numFmtId="0" xfId="0" applyAlignment="1" applyBorder="1" applyFont="1">
      <alignment horizontal="center" shrinkToFit="0" vertical="bottom" wrapText="0"/>
    </xf>
    <xf borderId="16" fillId="0" fontId="10" numFmtId="0" xfId="0" applyAlignment="1" applyBorder="1" applyFont="1">
      <alignment horizontal="center" shrinkToFit="0" vertical="bottom" wrapText="0"/>
    </xf>
    <xf borderId="18" fillId="0" fontId="10" numFmtId="0" xfId="0" applyAlignment="1" applyBorder="1" applyFont="1">
      <alignment horizontal="center" shrinkToFit="0" vertical="bottom" wrapText="0"/>
    </xf>
    <xf borderId="96" fillId="3" fontId="6" numFmtId="0" xfId="0" applyAlignment="1" applyBorder="1" applyFont="1">
      <alignment horizontal="center" shrinkToFit="0" vertical="bottom" wrapText="0"/>
    </xf>
    <xf borderId="89" fillId="9" fontId="25" numFmtId="175" xfId="0" applyAlignment="1" applyBorder="1" applyFill="1" applyFont="1" applyNumberFormat="1">
      <alignment shrinkToFit="0" vertical="bottom" wrapText="0"/>
    </xf>
    <xf borderId="13" fillId="8" fontId="25" numFmtId="192" xfId="0" applyAlignment="1" applyBorder="1" applyFont="1" applyNumberFormat="1">
      <alignment horizontal="center" shrinkToFit="0" vertical="bottom" wrapText="0"/>
    </xf>
    <xf borderId="97" fillId="0" fontId="8" numFmtId="0" xfId="0" applyBorder="1" applyFont="1"/>
    <xf borderId="98" fillId="8" fontId="16" numFmtId="193" xfId="0" applyAlignment="1" applyBorder="1" applyFont="1" applyNumberFormat="1">
      <alignment horizontal="center" shrinkToFit="0" vertical="bottom" wrapText="0"/>
    </xf>
    <xf borderId="99" fillId="8" fontId="16" numFmtId="193" xfId="0" applyAlignment="1" applyBorder="1" applyFont="1" applyNumberFormat="1">
      <alignment horizontal="center" shrinkToFit="0" vertical="bottom" wrapText="0"/>
    </xf>
    <xf borderId="68" fillId="7" fontId="16" numFmtId="193" xfId="0" applyAlignment="1" applyBorder="1" applyFont="1" applyNumberFormat="1">
      <alignment horizontal="center" shrinkToFit="0" vertical="bottom" wrapText="0"/>
    </xf>
    <xf borderId="9" fillId="9" fontId="25" numFmtId="175" xfId="0" applyAlignment="1" applyBorder="1" applyFont="1" applyNumberFormat="1">
      <alignment shrinkToFit="0" vertical="bottom" wrapText="0"/>
    </xf>
    <xf borderId="100" fillId="7" fontId="31" numFmtId="0" xfId="0" applyAlignment="1" applyBorder="1" applyFont="1">
      <alignment horizontal="right" shrinkToFit="0" vertical="bottom" wrapText="0"/>
    </xf>
    <xf borderId="101" fillId="8" fontId="25" numFmtId="194" xfId="0" applyAlignment="1" applyBorder="1" applyFont="1" applyNumberFormat="1">
      <alignment horizontal="center" shrinkToFit="0" vertical="bottom" wrapText="0"/>
    </xf>
    <xf borderId="102" fillId="8" fontId="25" numFmtId="195" xfId="0" applyAlignment="1" applyBorder="1" applyFont="1" applyNumberFormat="1">
      <alignment horizontal="center" shrinkToFit="0" vertical="bottom" wrapText="0"/>
    </xf>
    <xf borderId="102" fillId="8" fontId="25" numFmtId="196" xfId="0" applyAlignment="1" applyBorder="1" applyFont="1" applyNumberFormat="1">
      <alignment shrinkToFit="0" vertical="bottom" wrapText="0"/>
    </xf>
    <xf borderId="103" fillId="7" fontId="25" numFmtId="164" xfId="0" applyAlignment="1" applyBorder="1" applyFont="1" applyNumberFormat="1">
      <alignment shrinkToFit="0" vertical="bottom" wrapText="0"/>
    </xf>
    <xf borderId="62" fillId="9" fontId="33" numFmtId="0" xfId="0" applyAlignment="1" applyBorder="1" applyFont="1">
      <alignment horizontal="center" shrinkToFit="0" vertical="bottom" wrapText="0"/>
    </xf>
    <xf borderId="103" fillId="7" fontId="1" numFmtId="0" xfId="0" applyAlignment="1" applyBorder="1" applyFont="1">
      <alignment shrinkToFit="0" vertical="bottom" wrapText="0"/>
    </xf>
    <xf borderId="104" fillId="7" fontId="1" numFmtId="0" xfId="0" applyAlignment="1" applyBorder="1" applyFont="1">
      <alignment shrinkToFit="0" vertical="bottom" wrapText="0"/>
    </xf>
    <xf borderId="38" fillId="0" fontId="22" numFmtId="0" xfId="0" applyAlignment="1" applyBorder="1" applyFont="1">
      <alignment horizontal="center" shrinkToFit="0" vertical="center" wrapText="0"/>
    </xf>
    <xf borderId="39" fillId="0" fontId="22" numFmtId="0" xfId="0" applyAlignment="1" applyBorder="1" applyFont="1">
      <alignment horizontal="center" shrinkToFit="0" vertical="center" wrapText="0"/>
    </xf>
    <xf borderId="40" fillId="0" fontId="22" numFmtId="0" xfId="0" applyAlignment="1" applyBorder="1" applyFont="1">
      <alignment horizontal="center" shrinkToFit="0" vertical="center" wrapText="0"/>
    </xf>
    <xf borderId="16" fillId="0" fontId="13" numFmtId="0" xfId="0" applyAlignment="1" applyBorder="1" applyFont="1">
      <alignment horizontal="center" shrinkToFit="0" vertical="bottom" wrapText="0"/>
    </xf>
    <xf borderId="13" fillId="0" fontId="10" numFmtId="0" xfId="0" applyAlignment="1" applyBorder="1" applyFont="1">
      <alignment horizontal="center" shrinkToFit="0" vertical="bottom" wrapText="0"/>
    </xf>
    <xf borderId="68" fillId="7" fontId="1" numFmtId="0" xfId="0" applyAlignment="1" applyBorder="1" applyFont="1">
      <alignment horizontal="center" shrinkToFit="0" vertical="bottom" wrapText="0"/>
    </xf>
    <xf borderId="0" fillId="0" fontId="13" numFmtId="0" xfId="0" applyAlignment="1" applyFont="1">
      <alignment horizontal="center" shrinkToFit="0" vertical="bottom" wrapText="0"/>
    </xf>
    <xf borderId="67" fillId="0" fontId="19" numFmtId="0" xfId="0" applyAlignment="1" applyBorder="1" applyFont="1">
      <alignment horizontal="center" shrinkToFit="0" vertical="bottom" wrapText="0"/>
    </xf>
    <xf borderId="13" fillId="3" fontId="6" numFmtId="177" xfId="0" applyAlignment="1" applyBorder="1" applyFont="1" applyNumberFormat="1">
      <alignment horizontal="center" shrinkToFit="0" vertical="bottom" wrapText="0"/>
    </xf>
    <xf borderId="105" fillId="8" fontId="25" numFmtId="164" xfId="0" applyAlignment="1" applyBorder="1" applyFont="1" applyNumberFormat="1">
      <alignment horizontal="center" shrinkToFit="0" vertical="bottom" wrapText="0"/>
    </xf>
    <xf borderId="106" fillId="8" fontId="25" numFmtId="197" xfId="0" applyAlignment="1" applyBorder="1" applyFont="1" applyNumberFormat="1">
      <alignment horizontal="center" shrinkToFit="0" vertical="bottom" wrapText="0"/>
    </xf>
    <xf borderId="68" fillId="7" fontId="14" numFmtId="0" xfId="0" applyAlignment="1" applyBorder="1" applyFont="1">
      <alignment horizontal="right" shrinkToFit="0" vertical="bottom" wrapText="0"/>
    </xf>
    <xf borderId="9" fillId="8" fontId="25" numFmtId="173" xfId="0" applyAlignment="1" applyBorder="1" applyFont="1" applyNumberFormat="1">
      <alignment shrinkToFit="0" vertical="bottom" wrapText="0"/>
    </xf>
    <xf borderId="9" fillId="8" fontId="25" numFmtId="164" xfId="0" applyAlignment="1" applyBorder="1" applyFont="1" applyNumberFormat="1">
      <alignment horizontal="center" shrinkToFit="0" vertical="bottom" wrapText="0"/>
    </xf>
    <xf borderId="92" fillId="8" fontId="33" numFmtId="1" xfId="0" applyAlignment="1" applyBorder="1" applyFont="1" applyNumberFormat="1">
      <alignment horizontal="center" shrinkToFit="0" vertical="bottom" wrapText="0"/>
    </xf>
    <xf borderId="92" fillId="8" fontId="33" numFmtId="173" xfId="0" applyAlignment="1" applyBorder="1" applyFont="1" applyNumberFormat="1">
      <alignment horizontal="right" shrinkToFit="0" vertical="bottom" wrapText="0"/>
    </xf>
    <xf borderId="9" fillId="3" fontId="6" numFmtId="189" xfId="0" applyAlignment="1" applyBorder="1" applyFont="1" applyNumberFormat="1">
      <alignment horizontal="center" shrinkToFit="0" vertical="bottom" wrapText="0"/>
    </xf>
    <xf borderId="107" fillId="7" fontId="13" numFmtId="0" xfId="0" applyAlignment="1" applyBorder="1" applyFont="1">
      <alignment horizontal="right" shrinkToFit="0" vertical="bottom" wrapText="0"/>
    </xf>
    <xf borderId="13" fillId="8" fontId="34" numFmtId="1" xfId="0" applyAlignment="1" applyBorder="1" applyFont="1" applyNumberFormat="1">
      <alignment horizontal="center" shrinkToFit="0" vertical="bottom" wrapText="0"/>
    </xf>
    <xf borderId="98" fillId="7" fontId="13" numFmtId="0" xfId="0" applyAlignment="1" applyBorder="1" applyFont="1">
      <alignment horizontal="center" shrinkToFit="0" vertical="bottom" wrapText="0"/>
    </xf>
    <xf borderId="108" fillId="7" fontId="13" numFmtId="0" xfId="0" applyAlignment="1" applyBorder="1" applyFont="1">
      <alignment horizontal="center" shrinkToFit="0" vertical="bottom" wrapText="0"/>
    </xf>
    <xf borderId="68" fillId="7" fontId="15" numFmtId="0" xfId="0" applyAlignment="1" applyBorder="1" applyFont="1">
      <alignment horizontal="right" shrinkToFit="0" vertical="bottom" wrapText="0"/>
    </xf>
    <xf borderId="13" fillId="8" fontId="33" numFmtId="190" xfId="0" applyAlignment="1" applyBorder="1" applyFont="1" applyNumberFormat="1">
      <alignment horizontal="center" shrinkToFit="0" vertical="bottom" wrapText="0"/>
    </xf>
    <xf borderId="68" fillId="7" fontId="33" numFmtId="191" xfId="0" applyAlignment="1" applyBorder="1" applyFont="1" applyNumberFormat="1">
      <alignment horizontal="center" shrinkToFit="0" vertical="bottom" wrapText="0"/>
    </xf>
    <xf borderId="68" fillId="7" fontId="6" numFmtId="0" xfId="0" applyAlignment="1" applyBorder="1" applyFont="1">
      <alignment horizontal="center" shrinkToFit="0" vertical="bottom" wrapText="0"/>
    </xf>
    <xf borderId="107" fillId="3" fontId="6" numFmtId="0" xfId="0" applyAlignment="1" applyBorder="1" applyFont="1">
      <alignment horizontal="center" shrinkToFit="0" vertical="bottom" wrapText="0"/>
    </xf>
    <xf borderId="68" fillId="7" fontId="31" numFmtId="0" xfId="0" applyAlignment="1" applyBorder="1" applyFont="1">
      <alignment horizontal="right" shrinkToFit="0" vertical="bottom" wrapText="0"/>
    </xf>
    <xf borderId="9" fillId="5" fontId="35" numFmtId="164" xfId="0" applyAlignment="1" applyBorder="1" applyFont="1" applyNumberFormat="1">
      <alignment horizontal="center" shrinkToFit="0" vertical="bottom" wrapText="0"/>
    </xf>
    <xf borderId="107" fillId="8" fontId="25" numFmtId="194" xfId="0" applyAlignment="1" applyBorder="1" applyFont="1" applyNumberFormat="1">
      <alignment horizontal="center" shrinkToFit="0" vertical="bottom" wrapText="0"/>
    </xf>
    <xf borderId="89" fillId="8" fontId="25" numFmtId="195" xfId="0" applyAlignment="1" applyBorder="1" applyFont="1" applyNumberFormat="1">
      <alignment horizontal="center" shrinkToFit="0" vertical="bottom" wrapText="0"/>
    </xf>
    <xf borderId="109" fillId="8" fontId="25" numFmtId="196" xfId="0" applyAlignment="1" applyBorder="1" applyFont="1" applyNumberFormat="1">
      <alignment horizontal="center" shrinkToFit="0" vertical="bottom" wrapText="0"/>
    </xf>
    <xf borderId="100" fillId="7" fontId="1" numFmtId="0" xfId="0" applyAlignment="1" applyBorder="1" applyFont="1">
      <alignment shrinkToFit="0" vertical="bottom" wrapText="0"/>
    </xf>
    <xf borderId="103" fillId="7" fontId="13" numFmtId="0" xfId="0" applyAlignment="1" applyBorder="1" applyFont="1">
      <alignment horizontal="right" shrinkToFit="0" vertical="bottom" wrapText="0"/>
    </xf>
    <xf borderId="110" fillId="8" fontId="33" numFmtId="174" xfId="0" applyAlignment="1" applyBorder="1" applyFont="1" applyNumberFormat="1">
      <alignment horizontal="center" shrinkToFit="0" vertical="bottom" wrapText="0"/>
    </xf>
    <xf borderId="36" fillId="0" fontId="8" numFmtId="0" xfId="0" applyBorder="1" applyFont="1"/>
    <xf borderId="111" fillId="7" fontId="33" numFmtId="174" xfId="0" applyAlignment="1" applyBorder="1" applyFont="1" applyNumberFormat="1">
      <alignment horizontal="center" shrinkToFit="0" vertical="bottom" wrapText="0"/>
    </xf>
    <xf borderId="112" fillId="7" fontId="33" numFmtId="174" xfId="0" applyAlignment="1" applyBorder="1" applyFont="1" applyNumberFormat="1">
      <alignment horizontal="center" shrinkToFit="0" vertical="bottom" wrapText="0"/>
    </xf>
    <xf borderId="68" fillId="7" fontId="16" numFmtId="0" xfId="0" applyAlignment="1" applyBorder="1" applyFont="1">
      <alignment shrinkToFit="0" vertical="bottom" wrapText="0"/>
    </xf>
    <xf borderId="113" fillId="10" fontId="1" numFmtId="0" xfId="0" applyAlignment="1" applyBorder="1" applyFill="1" applyFont="1">
      <alignment horizontal="right" shrinkToFit="0" vertical="bottom" wrapText="0"/>
    </xf>
    <xf borderId="114" fillId="10" fontId="1" numFmtId="0" xfId="0" applyAlignment="1" applyBorder="1" applyFont="1">
      <alignment shrinkToFit="0" vertical="bottom" wrapText="0"/>
    </xf>
    <xf borderId="68" fillId="10" fontId="1" numFmtId="0" xfId="0" applyAlignment="1" applyBorder="1" applyFont="1">
      <alignment shrinkToFit="0" vertical="bottom" wrapText="0"/>
    </xf>
    <xf borderId="81" fillId="10" fontId="1" numFmtId="0" xfId="0" applyAlignment="1" applyBorder="1" applyFont="1">
      <alignment shrinkToFit="0" vertical="bottom" wrapText="0"/>
    </xf>
    <xf borderId="114" fillId="10" fontId="1" numFmtId="0" xfId="0" applyAlignment="1" applyBorder="1" applyFont="1">
      <alignment horizontal="left" shrinkToFit="0" vertical="bottom" wrapText="0"/>
    </xf>
    <xf borderId="115" fillId="10" fontId="1" numFmtId="0" xfId="0" applyAlignment="1" applyBorder="1" applyFont="1">
      <alignment horizontal="left" shrinkToFit="0" vertical="bottom" wrapText="0"/>
    </xf>
    <xf borderId="76" fillId="10" fontId="1" numFmtId="0" xfId="0" applyAlignment="1" applyBorder="1" applyFont="1">
      <alignment shrinkToFit="0" vertical="bottom" wrapText="0"/>
    </xf>
    <xf borderId="68" fillId="10" fontId="1" numFmtId="0" xfId="0" applyAlignment="1" applyBorder="1" applyFont="1">
      <alignment horizontal="left" shrinkToFit="0" vertical="bottom" wrapText="0"/>
    </xf>
    <xf borderId="81" fillId="10" fontId="1" numFmtId="0" xfId="0" applyAlignment="1" applyBorder="1" applyFont="1">
      <alignment horizontal="left" shrinkToFit="0" vertical="bottom" wrapText="0"/>
    </xf>
    <xf borderId="76" fillId="10" fontId="1" numFmtId="0" xfId="0" applyAlignment="1" applyBorder="1" applyFont="1">
      <alignment horizontal="right" shrinkToFit="0" vertical="bottom" wrapText="0"/>
    </xf>
    <xf borderId="68" fillId="10" fontId="19" numFmtId="0" xfId="0" applyAlignment="1" applyBorder="1" applyFont="1">
      <alignment shrinkToFit="0" vertical="bottom" wrapText="0"/>
    </xf>
    <xf borderId="68" fillId="10" fontId="13" numFmtId="0" xfId="0" applyAlignment="1" applyBorder="1" applyFont="1">
      <alignment shrinkToFit="0" vertical="bottom" wrapText="0"/>
    </xf>
    <xf borderId="81" fillId="10" fontId="13" numFmtId="0" xfId="0" applyAlignment="1" applyBorder="1" applyFont="1">
      <alignment shrinkToFit="0" vertical="bottom" wrapText="0"/>
    </xf>
    <xf borderId="76" fillId="10" fontId="36" numFmtId="0" xfId="0" applyAlignment="1" applyBorder="1" applyFont="1">
      <alignment shrinkToFit="0" vertical="bottom" wrapText="0"/>
    </xf>
    <xf borderId="68" fillId="10" fontId="36" numFmtId="0" xfId="0" applyAlignment="1" applyBorder="1" applyFont="1">
      <alignment shrinkToFit="0" vertical="bottom" wrapText="0"/>
    </xf>
    <xf borderId="81" fillId="10" fontId="36" numFmtId="0" xfId="0" applyAlignment="1" applyBorder="1" applyFont="1">
      <alignment shrinkToFit="0" vertical="bottom" wrapText="0"/>
    </xf>
    <xf borderId="100" fillId="10" fontId="1" numFmtId="0" xfId="0" applyAlignment="1" applyBorder="1" applyFont="1">
      <alignment horizontal="right" shrinkToFit="0" vertical="bottom" wrapText="0"/>
    </xf>
    <xf borderId="103" fillId="10" fontId="9" numFmtId="0" xfId="0" applyAlignment="1" applyBorder="1" applyFont="1">
      <alignment horizontal="left" shrinkToFit="0" vertical="top" wrapText="0"/>
    </xf>
    <xf borderId="103" fillId="10" fontId="36" numFmtId="0" xfId="0" applyAlignment="1" applyBorder="1" applyFont="1">
      <alignment shrinkToFit="0" vertical="bottom" wrapText="0"/>
    </xf>
    <xf borderId="103" fillId="10" fontId="1" numFmtId="0" xfId="0" applyAlignment="1" applyBorder="1" applyFont="1">
      <alignment shrinkToFit="0" vertical="bottom" wrapText="0"/>
    </xf>
    <xf borderId="104" fillId="10" fontId="1" numFmtId="0" xfId="0" applyAlignment="1" applyBorder="1" applyFont="1">
      <alignment shrinkToFit="0" vertical="bottom" wrapText="0"/>
    </xf>
    <xf borderId="0" fillId="0" fontId="29" numFmtId="0" xfId="0" applyAlignment="1" applyFont="1">
      <alignment horizontal="center" shrinkToFit="0" vertical="bottom" wrapText="0"/>
    </xf>
    <xf borderId="68" fillId="5" fontId="1" numFmtId="0" xfId="0" applyAlignment="1" applyBorder="1" applyFont="1">
      <alignment shrinkToFit="0" vertical="bottom" wrapText="0"/>
    </xf>
  </cellXfs>
  <cellStyles count="1">
    <cellStyle xfId="0" name="Normal" builtinId="0"/>
  </cellStyles>
  <dxfs count="2">
    <dxf>
      <font>
        <color rgb="FFFF0000"/>
      </font>
      <fill>
        <patternFill patternType="none"/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0</xdr:colOff>
      <xdr:row>3</xdr:row>
      <xdr:rowOff>0</xdr:rowOff>
    </xdr:from>
    <xdr:ext cx="2476500" cy="800100"/>
    <xdr:grpSp>
      <xdr:nvGrpSpPr>
        <xdr:cNvPr id="2" name="Shape 2"/>
        <xdr:cNvGrpSpPr/>
      </xdr:nvGrpSpPr>
      <xdr:grpSpPr>
        <a:xfrm>
          <a:off x="4107750" y="3379950"/>
          <a:ext cx="2443914" cy="714375"/>
          <a:chOff x="4107750" y="3379950"/>
          <a:chExt cx="2443914" cy="714375"/>
        </a:xfrm>
      </xdr:grpSpPr>
      <xdr:grpSp>
        <xdr:nvGrpSpPr>
          <xdr:cNvPr id="3" name="Shape 3"/>
          <xdr:cNvGrpSpPr/>
        </xdr:nvGrpSpPr>
        <xdr:grpSpPr>
          <a:xfrm>
            <a:off x="4107750" y="3379950"/>
            <a:ext cx="2443914" cy="714375"/>
            <a:chOff x="476" y="53"/>
            <a:chExt cx="225" cy="75"/>
          </a:xfrm>
        </xdr:grpSpPr>
        <xdr:sp>
          <xdr:nvSpPr>
            <xdr:cNvPr id="4" name="Shape 4"/>
            <xdr:cNvSpPr/>
          </xdr:nvSpPr>
          <xdr:spPr>
            <a:xfrm>
              <a:off x="476" y="53"/>
              <a:ext cx="225" cy="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482" y="64"/>
              <a:ext cx="83" cy="27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i="0" lang="en-US" sz="900" u="none" strike="noStrike">
                  <a:solidFill>
                    <a:srgbClr val="333333"/>
                  </a:solidFill>
                  <a:latin typeface="Arial"/>
                  <a:ea typeface="Arial"/>
                  <a:cs typeface="Arial"/>
                  <a:sym typeface="Arial"/>
                </a:rPr>
                <a:t>ELIPSÓIDES</a:t>
              </a:r>
              <a:endParaRPr sz="1400"/>
            </a:p>
          </xdr:txBody>
        </xdr:sp>
      </xdr:grpSp>
    </xdr:grpSp>
    <xdr:clientData fLocksWithSheet="0"/>
  </xdr:oneCellAnchor>
  <xdr:oneCellAnchor>
    <xdr:from>
      <xdr:col>8</xdr:col>
      <xdr:colOff>0</xdr:colOff>
      <xdr:row>7</xdr:row>
      <xdr:rowOff>152400</xdr:rowOff>
    </xdr:from>
    <xdr:ext cx="2495550" cy="533400"/>
    <xdr:grpSp>
      <xdr:nvGrpSpPr>
        <xdr:cNvPr id="2" name="Shape 2"/>
        <xdr:cNvGrpSpPr/>
      </xdr:nvGrpSpPr>
      <xdr:grpSpPr>
        <a:xfrm>
          <a:off x="4098226" y="3513300"/>
          <a:ext cx="2451960" cy="476250"/>
          <a:chOff x="4098226" y="3513300"/>
          <a:chExt cx="2451960" cy="476250"/>
        </a:xfrm>
      </xdr:grpSpPr>
      <xdr:grpSp>
        <xdr:nvGrpSpPr>
          <xdr:cNvPr id="6" name="Shape 6"/>
          <xdr:cNvGrpSpPr/>
        </xdr:nvGrpSpPr>
        <xdr:grpSpPr>
          <a:xfrm>
            <a:off x="4098226" y="3513300"/>
            <a:ext cx="2451960" cy="476250"/>
            <a:chOff x="1063" y="116"/>
            <a:chExt cx="225" cy="50"/>
          </a:xfrm>
        </xdr:grpSpPr>
        <xdr:sp>
          <xdr:nvSpPr>
            <xdr:cNvPr id="4" name="Shape 4"/>
            <xdr:cNvSpPr/>
          </xdr:nvSpPr>
          <xdr:spPr>
            <a:xfrm>
              <a:off x="1063" y="116"/>
              <a:ext cx="225" cy="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7" name="Shape 7"/>
            <xdr:cNvSpPr/>
          </xdr:nvSpPr>
          <xdr:spPr>
            <a:xfrm>
              <a:off x="1071" y="123"/>
              <a:ext cx="72" cy="26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b="1" i="0" lang="en-US" sz="900" u="none" strike="noStrike">
                  <a:solidFill>
                    <a:srgbClr val="333333"/>
                  </a:solidFill>
                  <a:latin typeface="Arial"/>
                  <a:ea typeface="Arial"/>
                  <a:cs typeface="Arial"/>
                  <a:sym typeface="Arial"/>
                </a:rPr>
                <a:t>PROJEÇÃO</a:t>
              </a:r>
              <a:endParaRPr sz="1400"/>
            </a:p>
          </xdr:txBody>
        </xdr:sp>
      </xdr:grpSp>
    </xdr:grpSp>
    <xdr:clientData fLocksWithSheet="0"/>
  </xdr:oneCellAnchor>
  <xdr:oneCellAnchor>
    <xdr:from>
      <xdr:col>1</xdr:col>
      <xdr:colOff>152400</xdr:colOff>
      <xdr:row>3</xdr:row>
      <xdr:rowOff>104775</xdr:rowOff>
    </xdr:from>
    <xdr:ext cx="1476375" cy="695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22.63"/>
    <col customWidth="1" min="3" max="3" width="8.38"/>
    <col customWidth="1" min="4" max="4" width="7.13"/>
    <col customWidth="1" min="5" max="5" width="17.0"/>
    <col customWidth="1" min="6" max="6" width="9.63"/>
    <col customWidth="1" min="7" max="7" width="10.63"/>
    <col customWidth="1" min="8" max="8" width="24.0"/>
    <col customWidth="1" min="9" max="9" width="17.25"/>
    <col customWidth="1" min="10" max="10" width="16.88"/>
    <col customWidth="1" min="11" max="12" width="16.63"/>
    <col customWidth="1" min="13" max="26" width="8.0"/>
  </cols>
  <sheetData>
    <row r="1" ht="12.75" customHeight="1">
      <c r="A1" s="1" t="s">
        <v>0</v>
      </c>
      <c r="B1" s="2" t="s">
        <v>1</v>
      </c>
      <c r="E1" s="3" t="s">
        <v>2</v>
      </c>
      <c r="F1" s="4">
        <v>1.0</v>
      </c>
      <c r="G1" s="3" t="s">
        <v>3</v>
      </c>
      <c r="H1" s="4">
        <v>1.0</v>
      </c>
    </row>
    <row r="2" ht="13.5" customHeight="1">
      <c r="A2" s="5"/>
      <c r="B2" s="6" t="s">
        <v>4</v>
      </c>
      <c r="D2" s="7" t="s">
        <v>5</v>
      </c>
      <c r="I2" s="8"/>
    </row>
    <row r="3" ht="14.25" customHeight="1">
      <c r="A3" s="9" t="s">
        <v>6</v>
      </c>
      <c r="B3" s="10">
        <v>4.0</v>
      </c>
    </row>
    <row r="4" ht="13.5" customHeight="1">
      <c r="A4" s="11" t="s">
        <v>7</v>
      </c>
      <c r="B4" s="12" t="str">
        <f>IF(B3=1,"Hayford",IF(B3=2,"Ref. 1967",IF(B3=3,"WGS 84","GRS 80")))</f>
        <v>GRS 80</v>
      </c>
      <c r="E4" s="13"/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</row>
    <row r="5" ht="12.75" customHeight="1">
      <c r="A5" s="15" t="s">
        <v>13</v>
      </c>
      <c r="B5" s="16">
        <f t="shared" ref="B5:B6" si="1">IF($B$3=1,B34,IF($B$3=2,B37,IF($B$3=3,B40,B43)))</f>
        <v>6378137</v>
      </c>
      <c r="E5" s="17" t="s">
        <v>14</v>
      </c>
      <c r="F5" s="18">
        <f>ABS(GEOUTM!D13)</f>
        <v>15</v>
      </c>
      <c r="G5" s="19">
        <f>GEOUTM!E13</f>
        <v>40</v>
      </c>
      <c r="H5" s="20">
        <f>GEOUTM!F13</f>
        <v>42.08621</v>
      </c>
      <c r="I5" s="14">
        <f>IF(F1=1,-1*(F5+(H5/3600+G5/60)),F5+(H5/3600+G5/60))</f>
        <v>-15.67835728</v>
      </c>
      <c r="J5" s="21">
        <f t="shared" ref="J5:J6" si="2">RADIANS(I5)</f>
        <v>-0.2736389558</v>
      </c>
    </row>
    <row r="6" ht="13.5" customHeight="1">
      <c r="A6" s="22" t="s">
        <v>15</v>
      </c>
      <c r="B6" s="23">
        <f t="shared" si="1"/>
        <v>6356752.314</v>
      </c>
      <c r="E6" s="17" t="s">
        <v>16</v>
      </c>
      <c r="F6" s="18">
        <f>ABS(GEOUTM!D14)</f>
        <v>47</v>
      </c>
      <c r="G6" s="19">
        <f>GEOUTM!E14</f>
        <v>46</v>
      </c>
      <c r="H6" s="20">
        <f>GEOUTM!F14</f>
        <v>20.01625</v>
      </c>
      <c r="I6" s="24">
        <f>IF(H1=1,-1*(ABS(F6)+(H6/3600+G6/60)),ABS(F6)+(H6/3600+G6/60))</f>
        <v>-47.77222674</v>
      </c>
      <c r="J6" s="21">
        <f t="shared" si="2"/>
        <v>-0.8337826476</v>
      </c>
    </row>
    <row r="7" ht="12.75" customHeight="1"/>
    <row r="8" ht="12.75" customHeight="1">
      <c r="A8" s="25" t="s">
        <v>17</v>
      </c>
      <c r="B8" s="26">
        <f>1/((B5-B6)/B5)</f>
        <v>298.2572221</v>
      </c>
    </row>
    <row r="9" ht="12.75" customHeight="1">
      <c r="A9" s="3" t="s">
        <v>18</v>
      </c>
      <c r="B9" s="27">
        <f>(POWER(B5,2)-POWER(B6,2))/POWER(B6,2)</f>
        <v>0.006739496775</v>
      </c>
      <c r="D9" s="28" t="s">
        <v>19</v>
      </c>
      <c r="E9" s="29">
        <f>-(((($B$19*POWER(SIN(J5),8)+$B$18*POWER(SIN(J5),6))+$B$17*POWER(SIN(J5),4))+$B$16*POWER(SIN(J5),2))+1)*$B$15*$B$10*SIN(J5)*COS(J5)+$B$14*$B$10*J5</f>
        <v>-1734051.2</v>
      </c>
      <c r="F9" s="30" t="s">
        <v>20</v>
      </c>
    </row>
    <row r="10" ht="12.75" customHeight="1">
      <c r="A10" s="3" t="s">
        <v>21</v>
      </c>
      <c r="B10" s="31">
        <f>POWER(B5,2)/B6</f>
        <v>6399593.626</v>
      </c>
    </row>
    <row r="11" ht="12.75" customHeight="1"/>
    <row r="12" ht="12.75" customHeight="1">
      <c r="D12" s="32" t="s">
        <v>22</v>
      </c>
      <c r="F12" s="33">
        <f>(I6+183)/6</f>
        <v>22.53796221</v>
      </c>
    </row>
    <row r="13" ht="13.5" customHeight="1">
      <c r="D13" s="34"/>
      <c r="F13" s="34"/>
    </row>
    <row r="14" ht="13.5" customHeight="1">
      <c r="A14" s="3" t="s">
        <v>23</v>
      </c>
      <c r="B14" s="35">
        <f>1-(3/4)*B9*(1-(15/16)*B9*(1-(35/36)*B9*(1-(63/64)*B9*(1-99/100*B9))))</f>
        <v>0.9949771061</v>
      </c>
      <c r="D14" s="36" t="s">
        <v>24</v>
      </c>
      <c r="E14" s="37"/>
      <c r="F14" s="37"/>
      <c r="G14" s="37"/>
      <c r="H14" s="38"/>
      <c r="I14" s="39" t="s">
        <v>25</v>
      </c>
      <c r="J14" s="38"/>
      <c r="K14" s="36" t="s">
        <v>26</v>
      </c>
      <c r="L14" s="38"/>
    </row>
    <row r="15" ht="14.25" customHeight="1">
      <c r="A15" s="3" t="s">
        <v>27</v>
      </c>
      <c r="B15" s="35">
        <f>(3/4)*B9*(1-(25/16)*B9*(1-(77/60)*B9*(1-(837/704)*B9*(1-(2123/1860)*B9))))</f>
        <v>0.005001851767</v>
      </c>
      <c r="D15" s="40" t="s">
        <v>28</v>
      </c>
      <c r="E15" s="41"/>
      <c r="F15" s="42">
        <f>IF(F12-TRUNC(F12)=0.5,TRUNC(F12),(IF(F12-TRUNC(F12)&gt;0.5,TRUNC(F12)+1,TRUNC(F12))))</f>
        <v>23</v>
      </c>
      <c r="G15" s="43">
        <f>IF(F12-TRUNC(F12)=0.5,TRUNC(F12)+1,(IF(F12-TRUNC(F12)&gt;0.5,TRUNC(F12)+1,TRUNC(F12))))</f>
        <v>23</v>
      </c>
      <c r="H15" s="44"/>
      <c r="I15" s="45" t="s">
        <v>29</v>
      </c>
      <c r="J15" s="46"/>
      <c r="K15" s="47" t="s">
        <v>29</v>
      </c>
      <c r="L15" s="48"/>
    </row>
    <row r="16" ht="12.75" customHeight="1">
      <c r="A16" s="3" t="s">
        <v>30</v>
      </c>
      <c r="B16" s="35">
        <f>(5/8)*B9*(1-(139/144)*B9*(1-(1087/1112)*B9*(1-(513427/521760)*B9)))</f>
        <v>0.004184962498</v>
      </c>
      <c r="D16" s="49" t="s">
        <v>31</v>
      </c>
      <c r="E16" s="50"/>
      <c r="F16" s="51">
        <f t="shared" ref="F16:G16" si="3">F15*6-183</f>
        <v>-45</v>
      </c>
      <c r="G16" s="52">
        <f t="shared" si="3"/>
        <v>-45</v>
      </c>
      <c r="H16" s="53"/>
      <c r="I16" s="54">
        <f>IF($I$6-TRUNC($I$6)=0,TRUNC($I$6)-0.5,SIGN($I$6)*(ABS(TRUNC($I$6))+0.5))</f>
        <v>-47.5</v>
      </c>
      <c r="J16" s="55">
        <f>IF($I$6-TRUNC($I$6)=0,TRUNC($I$6)+0.5,SIGN($I$6)*(ABS(TRUNC($I$6))+0.5))</f>
        <v>-47.5</v>
      </c>
      <c r="K16" s="56">
        <f>IF(($I$6-TRUNC($I$6)=0),(IF(MOD(TRUNC($I$6),2)=0,SIGN($I$6)*(ABS(ODD($I$6))),SIGN($I$6)*(ABS($I$6)))),IF(MOD(TRUNC($I$6),2)=0,ODD($I$6),SIGN($I$6)*(ABS(ODD($I$6))-2)))</f>
        <v>-47</v>
      </c>
      <c r="L16" s="56">
        <f>IF(($I$6-TRUNC($I$6)=0),(IF(MOD(TRUNC($I$6),2)=0,SIGN($I$6)*(ABS(ODD($I$6))-2),SIGN($I$6)*(ABS($I$6)))),IF(MOD(TRUNC($I$6),2)=0,ODD($I$6),SIGN($I$6)*(ABS(ODD($I$6))-2)))</f>
        <v>-47</v>
      </c>
    </row>
    <row r="17" ht="12.75" customHeight="1">
      <c r="A17" s="3" t="s">
        <v>32</v>
      </c>
      <c r="B17" s="35">
        <f>(35/72)*POWER(B9,2)*(1-(125/64)*B9*(1-(221069/150000)*B9))</f>
        <v>0.00002179181543</v>
      </c>
      <c r="D17" s="57" t="s">
        <v>33</v>
      </c>
      <c r="E17" s="50"/>
      <c r="F17" s="58">
        <v>0.9996</v>
      </c>
      <c r="G17" s="52"/>
      <c r="H17" s="53"/>
      <c r="I17" s="59">
        <v>0.999995</v>
      </c>
      <c r="J17" s="60">
        <v>0.999995</v>
      </c>
      <c r="K17" s="61">
        <v>0.999995</v>
      </c>
      <c r="L17" s="61">
        <v>0.999995</v>
      </c>
    </row>
    <row r="18" ht="12.75" customHeight="1">
      <c r="A18" s="3" t="s">
        <v>34</v>
      </c>
      <c r="B18" s="35">
        <f>(105/256)*POWER(B9,3)*(1-(1179/400)*B9)</f>
        <v>0.0000001230602488</v>
      </c>
      <c r="D18" s="57" t="s">
        <v>12</v>
      </c>
      <c r="E18" s="50"/>
      <c r="F18" s="60" t="s">
        <v>8</v>
      </c>
      <c r="G18" s="62" t="s">
        <v>8</v>
      </c>
      <c r="H18" s="51" t="s">
        <v>12</v>
      </c>
      <c r="I18" s="59"/>
      <c r="J18" s="60"/>
      <c r="K18" s="61"/>
      <c r="L18" s="61"/>
    </row>
    <row r="19" ht="12.75" customHeight="1">
      <c r="A19" s="3" t="s">
        <v>35</v>
      </c>
      <c r="B19" s="35">
        <f>(231/640)*POWER(B9,4)</f>
        <v>0.0000000007446323251</v>
      </c>
      <c r="D19" s="63" t="s">
        <v>36</v>
      </c>
      <c r="E19" s="64">
        <f>RADIANS(F19)</f>
        <v>-0.04838448416</v>
      </c>
      <c r="F19" s="65">
        <f>$I$6-F16</f>
        <v>-2.772226736</v>
      </c>
      <c r="G19" s="66">
        <f>I6-G16</f>
        <v>-2.772226736</v>
      </c>
      <c r="H19" s="67">
        <f>RADIANS(G19)</f>
        <v>-0.04838448416</v>
      </c>
      <c r="I19" s="68">
        <f t="shared" ref="I19:L19" si="4">RADIANS($I$6-I16)</f>
        <v>-0.004751252857</v>
      </c>
      <c r="J19" s="69">
        <f t="shared" si="4"/>
        <v>-0.004751252857</v>
      </c>
      <c r="K19" s="70">
        <f t="shared" si="4"/>
        <v>-0.01347789912</v>
      </c>
      <c r="L19" s="70">
        <f t="shared" si="4"/>
        <v>-0.01347789912</v>
      </c>
    </row>
    <row r="20" ht="12.75" customHeight="1">
      <c r="D20" s="71"/>
      <c r="E20" s="72"/>
      <c r="F20" s="73"/>
      <c r="G20" s="74"/>
      <c r="H20" s="53"/>
      <c r="I20" s="59"/>
      <c r="J20" s="60"/>
      <c r="K20" s="61"/>
      <c r="L20" s="61"/>
    </row>
    <row r="21" ht="12.75" customHeight="1">
      <c r="A21" s="3" t="s">
        <v>37</v>
      </c>
      <c r="B21" s="75">
        <f>B10/SQRT(POWER(1/COS(J5),2)+B9)</f>
        <v>6142332.96</v>
      </c>
      <c r="D21" s="57" t="s">
        <v>38</v>
      </c>
      <c r="E21" s="76">
        <f>$E$9+$B$22*POWER(E19,2)+$B$24*POWER(E19,4)+$B$26*POWER(E19,6)</f>
        <v>-1735995.894</v>
      </c>
      <c r="F21" s="73"/>
      <c r="H21" s="77">
        <f t="shared" ref="H21:L21" si="5">$E$9+$B$22*POWER(H19,2)+$B$24*POWER(H19,4)+$B$26*POWER(H19,6)</f>
        <v>-1735995.894</v>
      </c>
      <c r="I21" s="78">
        <f t="shared" si="5"/>
        <v>-1734069.936</v>
      </c>
      <c r="J21" s="79">
        <f t="shared" si="5"/>
        <v>-1734069.936</v>
      </c>
      <c r="K21" s="80">
        <f t="shared" si="5"/>
        <v>-1734201.973</v>
      </c>
      <c r="L21" s="80">
        <f t="shared" si="5"/>
        <v>-1734201.973</v>
      </c>
    </row>
    <row r="22" ht="12.75" customHeight="1">
      <c r="A22" s="3" t="s">
        <v>39</v>
      </c>
      <c r="B22" s="75">
        <f>B21*SIN(J5)/2</f>
        <v>-829942.1486</v>
      </c>
      <c r="D22" s="57" t="s">
        <v>40</v>
      </c>
      <c r="E22" s="76">
        <f>$B$21*E19+$B$23*POWER(E19,3)+$B$25*POWER(E19,5)</f>
        <v>-297293.3475</v>
      </c>
      <c r="F22" s="73"/>
      <c r="H22" s="76">
        <f t="shared" ref="H22:L22" si="6">$B$21*H19+$B$23*POWER(H19,3)+$B$25*POWER(H19,5)</f>
        <v>-297293.3475</v>
      </c>
      <c r="I22" s="78">
        <f t="shared" si="6"/>
        <v>-29183.87143</v>
      </c>
      <c r="J22" s="79">
        <f t="shared" si="6"/>
        <v>-29183.87143</v>
      </c>
      <c r="K22" s="80">
        <f t="shared" si="6"/>
        <v>-82787.89889</v>
      </c>
      <c r="L22" s="80">
        <f t="shared" si="6"/>
        <v>-82787.89889</v>
      </c>
    </row>
    <row r="23" ht="13.5" customHeight="1">
      <c r="A23" s="3" t="s">
        <v>41</v>
      </c>
      <c r="B23" s="75">
        <f>(B21/6)*(B9*POWER(COS(J5),4)+2*POWER(COS(J5),2)-1)</f>
        <v>880130.0362</v>
      </c>
      <c r="D23" s="81"/>
      <c r="E23" s="82"/>
      <c r="F23" s="48"/>
      <c r="G23" s="83"/>
      <c r="H23" s="84"/>
      <c r="I23" s="85"/>
      <c r="J23" s="86"/>
      <c r="K23" s="87"/>
      <c r="L23" s="87"/>
    </row>
    <row r="24" ht="12.75" customHeight="1">
      <c r="A24" s="3" t="s">
        <v>42</v>
      </c>
      <c r="B24" s="75">
        <f>(4*POWER(B9,2)*POWER(COS(J5),6)+9*B9*POWER(COS(J5),4)+6*POWER(COS(J5),2)-1)*B22/12</f>
        <v>-319119.4696</v>
      </c>
      <c r="D24" s="88" t="s">
        <v>43</v>
      </c>
      <c r="E24" s="89">
        <f>500000+F17*E22</f>
        <v>202825.5699</v>
      </c>
      <c r="F24" s="90"/>
      <c r="G24" s="91">
        <f>500000+F17*H22</f>
        <v>202825.5699</v>
      </c>
      <c r="H24" s="92"/>
      <c r="I24" s="93">
        <f t="shared" ref="I24:J24" si="7">200000+I17*I22</f>
        <v>170816.2745</v>
      </c>
      <c r="J24" s="94">
        <f t="shared" si="7"/>
        <v>170816.2745</v>
      </c>
      <c r="K24" s="95">
        <f t="shared" ref="K24:L24" si="8">400000+K17*K22</f>
        <v>317212.5151</v>
      </c>
      <c r="L24" s="95">
        <f t="shared" si="8"/>
        <v>317212.5151</v>
      </c>
    </row>
    <row r="25" ht="12.75" customHeight="1">
      <c r="A25" s="3" t="s">
        <v>44</v>
      </c>
      <c r="B25" s="75">
        <f>(1/120)*B21*(1-20*POWER(COS(J5),2)+((24-(58*B9))*POWER(COS(J5),4))+(72*B9*POWER(COS(J5),6)))</f>
        <v>160408.9614</v>
      </c>
      <c r="D25" s="57" t="s">
        <v>45</v>
      </c>
      <c r="E25" s="96">
        <f>IF(F1=1,10000000+F17*E21,F17*E21)</f>
        <v>8264698.505</v>
      </c>
      <c r="F25" s="72"/>
      <c r="G25" s="97">
        <f>IF(F1=1,10000000+F17*H21,F17*H21)</f>
        <v>8264698.505</v>
      </c>
      <c r="H25" s="73"/>
      <c r="I25" s="98">
        <f>IF(F1=1,5000000+I17*I21,I17*I21)</f>
        <v>3265938.734</v>
      </c>
      <c r="J25" s="99">
        <f>IF(F1=1,5000000+J17*J21,J17*J21)</f>
        <v>3265938.734</v>
      </c>
      <c r="K25" s="100">
        <f>IF(F1=1,5000000+K17*K21,K17*K21)</f>
        <v>3265806.698</v>
      </c>
      <c r="L25" s="100">
        <f>IF(F1=1,5000000+L17*L21,L17*L21)</f>
        <v>3265806.698</v>
      </c>
    </row>
    <row r="26" ht="13.5" customHeight="1">
      <c r="A26" s="3" t="s">
        <v>46</v>
      </c>
      <c r="B26" s="75">
        <f>(1/360)*B22*(1-60*POWER(COS(J5),2)+120*POWER(COS(J5),4))</f>
        <v>-111799.9942</v>
      </c>
      <c r="D26" s="22" t="s">
        <v>47</v>
      </c>
      <c r="E26" s="101">
        <f>(1+$B$28*$E$19*$E$19+$B$30*POWER($E$19,4))*F17</f>
        <v>1.000692323</v>
      </c>
      <c r="F26" s="102"/>
      <c r="G26" s="103">
        <f>(1+$B$28*$H$19*$H$19+$B$30*POWER($H$19,4))*F17</f>
        <v>1.000692323</v>
      </c>
      <c r="H26" s="102"/>
      <c r="I26" s="104">
        <f>(1+$B$28*$I$19*$I$19+$B$30*POWER($I$19,4))*I17</f>
        <v>1.000005528</v>
      </c>
      <c r="J26" s="105">
        <f>(1+$B$28*$J$19*$J$19+$B$30*POWER($J$19,4))*J17</f>
        <v>1.000005528</v>
      </c>
      <c r="K26" s="106">
        <f>(1+$B$28*$K$19*$K$19+$B$30*POWER($K$19,4))*K17</f>
        <v>1.000079725</v>
      </c>
      <c r="L26" s="106">
        <f>(1+$B$28*$L$19*$L$19+$B$30*POWER($L$19,4))*L17</f>
        <v>1.000079725</v>
      </c>
    </row>
    <row r="27" ht="12.75" customHeight="1">
      <c r="A27" s="3" t="s">
        <v>48</v>
      </c>
      <c r="B27" s="4">
        <f>SIN(J5)</f>
        <v>-0.2702367827</v>
      </c>
    </row>
    <row r="28" ht="12.75" customHeight="1">
      <c r="A28" s="3" t="s">
        <v>49</v>
      </c>
      <c r="B28" s="4">
        <f>(1+B9*POWER(COS(J5),2))*POWER(COS(J5),2)/2</f>
        <v>0.4663815887</v>
      </c>
    </row>
    <row r="29" ht="13.5" customHeight="1">
      <c r="A29" s="3" t="s">
        <v>50</v>
      </c>
      <c r="B29" s="4">
        <f>(SIN(J5)*POWER(COS(J5),2)*(1+(3*B9*POWER(COS(J5),2)+2*B9*B9*POWER(COS(J5),4))))/3</f>
        <v>-0.08507213606</v>
      </c>
      <c r="E29" s="107" t="s">
        <v>51</v>
      </c>
    </row>
    <row r="30" ht="13.5" customHeight="1">
      <c r="A30" s="3" t="s">
        <v>52</v>
      </c>
      <c r="B30" s="4">
        <f>((42*B9*POWER(COS(J5),4)+(9-28*B9)*POWER(COS(J5),2))-4)*POWER(COS(J5),2)/24</f>
        <v>0.1703716619</v>
      </c>
      <c r="D30" s="108"/>
      <c r="E30" s="36" t="s">
        <v>8</v>
      </c>
      <c r="F30" s="36" t="s">
        <v>8</v>
      </c>
      <c r="G30" s="38"/>
      <c r="H30" s="109" t="s">
        <v>9</v>
      </c>
      <c r="I30" s="110" t="s">
        <v>10</v>
      </c>
    </row>
    <row r="31" ht="16.5" customHeight="1">
      <c r="A31" s="3" t="s">
        <v>53</v>
      </c>
      <c r="B31" s="3">
        <f>SIN(J5)*POWER(COS(J5),2)*(-1+3*POWER(COS(J5),2))/15</f>
        <v>-0.02974153313</v>
      </c>
      <c r="D31" s="111" t="s">
        <v>54</v>
      </c>
      <c r="E31" s="112">
        <f>DEGREES($B$27*$E$34+($B$29*POWER($E$34,3)+$B$31*POWER($E$34,5)))</f>
        <v>0.7497101993</v>
      </c>
      <c r="F31" s="113" t="str">
        <f>IF(E31&lt;0,"-","+")</f>
        <v>+</v>
      </c>
      <c r="G31" s="114">
        <f>TRUNC($E$31)</f>
        <v>0</v>
      </c>
      <c r="H31" s="115">
        <f>ABS(TRUNC(($E$31-$G$31)*60))</f>
        <v>44</v>
      </c>
      <c r="I31" s="116">
        <f>(ABS($E$31-$G$31)*60-$H$31)*60</f>
        <v>58.95671743</v>
      </c>
    </row>
    <row r="32" ht="13.5" customHeight="1"/>
    <row r="33" ht="12.75" customHeight="1">
      <c r="A33" s="117" t="s">
        <v>55</v>
      </c>
      <c r="B33" s="118" t="s">
        <v>56</v>
      </c>
      <c r="D33" s="4" t="s">
        <v>57</v>
      </c>
      <c r="E33" s="119">
        <f>Plan2!E8</f>
        <v>1</v>
      </c>
    </row>
    <row r="34" ht="12.75" customHeight="1">
      <c r="A34" s="120" t="s">
        <v>13</v>
      </c>
      <c r="B34" s="121">
        <v>6378388.0</v>
      </c>
      <c r="D34" s="4" t="s">
        <v>58</v>
      </c>
      <c r="E34" s="122">
        <f>IF(E33=1,E19,IF(E33=2,I19,K19))</f>
        <v>-0.04838448416</v>
      </c>
    </row>
    <row r="35" ht="13.5" customHeight="1">
      <c r="A35" s="123" t="s">
        <v>15</v>
      </c>
      <c r="B35" s="124">
        <v>6356911.9461</v>
      </c>
    </row>
    <row r="36" ht="13.5" customHeight="1">
      <c r="A36" s="125"/>
      <c r="B36" s="126" t="s">
        <v>59</v>
      </c>
      <c r="I36" s="127"/>
    </row>
    <row r="37" ht="12.75" customHeight="1">
      <c r="A37" s="117" t="s">
        <v>13</v>
      </c>
      <c r="B37" s="128">
        <v>6378160.0</v>
      </c>
      <c r="D37" s="40" t="s">
        <v>28</v>
      </c>
      <c r="E37" s="41"/>
      <c r="F37" s="42">
        <f>GEOUTM!C19</f>
        <v>24</v>
      </c>
    </row>
    <row r="38" ht="13.5" customHeight="1">
      <c r="A38" s="123" t="s">
        <v>15</v>
      </c>
      <c r="B38" s="124">
        <v>6356774.7191953</v>
      </c>
      <c r="D38" s="49" t="s">
        <v>31</v>
      </c>
      <c r="E38" s="50"/>
      <c r="F38" s="51">
        <f>F37*6-183</f>
        <v>-39</v>
      </c>
    </row>
    <row r="39" ht="13.5" customHeight="1">
      <c r="A39" s="125"/>
      <c r="B39" s="126" t="s">
        <v>60</v>
      </c>
      <c r="D39" s="57" t="s">
        <v>33</v>
      </c>
      <c r="E39" s="50"/>
      <c r="F39" s="58">
        <v>0.9996</v>
      </c>
    </row>
    <row r="40" ht="12.75" customHeight="1">
      <c r="A40" s="117" t="s">
        <v>13</v>
      </c>
      <c r="B40" s="129">
        <v>6378137.0</v>
      </c>
      <c r="D40" s="57" t="s">
        <v>12</v>
      </c>
      <c r="E40" s="50"/>
      <c r="F40" s="60" t="s">
        <v>8</v>
      </c>
    </row>
    <row r="41" ht="13.5" customHeight="1">
      <c r="A41" s="130" t="s">
        <v>15</v>
      </c>
      <c r="B41" s="131">
        <v>6356752.3142452</v>
      </c>
      <c r="D41" s="63" t="s">
        <v>61</v>
      </c>
      <c r="E41" s="64">
        <f>RADIANS(F41)</f>
        <v>-0.1531042393</v>
      </c>
      <c r="F41" s="65">
        <f>$I$6-F38</f>
        <v>-8.772226736</v>
      </c>
    </row>
    <row r="42" ht="13.5" customHeight="1">
      <c r="A42" s="125"/>
      <c r="B42" s="132" t="s">
        <v>62</v>
      </c>
      <c r="D42" s="71"/>
      <c r="E42" s="72"/>
      <c r="F42" s="73"/>
    </row>
    <row r="43" ht="12.75" customHeight="1">
      <c r="A43" s="117" t="s">
        <v>13</v>
      </c>
      <c r="B43" s="133">
        <v>6378137.0</v>
      </c>
      <c r="D43" s="57" t="s">
        <v>38</v>
      </c>
      <c r="E43" s="76">
        <f>$E$9+$B$22*POWER(E41,2)+$B$24*POWER(E41,4)+$B$26*POWER(E41,6)</f>
        <v>-1753682.587</v>
      </c>
      <c r="F43" s="73"/>
    </row>
    <row r="44" ht="13.5" customHeight="1">
      <c r="A44" s="123" t="s">
        <v>15</v>
      </c>
      <c r="B44" s="134">
        <v>6356752.314140356</v>
      </c>
      <c r="D44" s="57" t="s">
        <v>40</v>
      </c>
      <c r="E44" s="76">
        <f>$B$21*E41+$B$23*POWER(E41,3)+$B$25*POWER(E41,5)</f>
        <v>-943589.4108</v>
      </c>
      <c r="F44" s="73"/>
    </row>
    <row r="45" ht="13.5" customHeight="1">
      <c r="D45" s="81"/>
      <c r="E45" s="82"/>
      <c r="F45" s="48"/>
    </row>
    <row r="46" ht="12.75" customHeight="1">
      <c r="D46" s="88" t="s">
        <v>43</v>
      </c>
      <c r="E46" s="135">
        <f>500000+F39*E44</f>
        <v>-443211.9751</v>
      </c>
      <c r="F46" s="90"/>
    </row>
    <row r="47" ht="12.75" customHeight="1">
      <c r="D47" s="57" t="s">
        <v>45</v>
      </c>
      <c r="E47" s="136">
        <f>IF(F1=1,10000000+F39*E43,F39*E43)</f>
        <v>8247018.886</v>
      </c>
      <c r="F47" s="72"/>
    </row>
    <row r="48" ht="13.5" customHeight="1">
      <c r="D48" s="22" t="s">
        <v>47</v>
      </c>
      <c r="E48" s="101">
        <f>(1+$B$28*$E$41*$E$41+$B$30*POWER($E$41,4))*F39</f>
        <v>1.010621613</v>
      </c>
      <c r="F48" s="102"/>
    </row>
    <row r="49" ht="13.5" customHeight="1">
      <c r="D49" s="108"/>
      <c r="E49" s="36" t="s">
        <v>8</v>
      </c>
      <c r="F49" s="36" t="s">
        <v>8</v>
      </c>
      <c r="G49" s="38"/>
      <c r="H49" s="109" t="s">
        <v>9</v>
      </c>
      <c r="I49" s="110" t="s">
        <v>10</v>
      </c>
    </row>
    <row r="50" ht="16.5" customHeight="1">
      <c r="D50" s="111" t="s">
        <v>63</v>
      </c>
      <c r="E50" s="112">
        <f>DEGREES($B$27*$E$41+($B$29*POWER($E$41,3)+$B$31*POWER($E$41,5)))</f>
        <v>2.388214983</v>
      </c>
      <c r="F50" s="113" t="str">
        <f>IF(E50&lt;0,"-","+")</f>
        <v>+</v>
      </c>
      <c r="G50" s="114">
        <f>TRUNC($E$50)</f>
        <v>2</v>
      </c>
      <c r="H50" s="115">
        <f>ABS(TRUNC(($E$50-$G$50)*60))</f>
        <v>23</v>
      </c>
      <c r="I50" s="116">
        <f>(ABS($E$50-$G$50)*60-$H$50)*60</f>
        <v>17.5739385</v>
      </c>
    </row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4">
    <mergeCell ref="D2:H2"/>
    <mergeCell ref="D12:E12"/>
    <mergeCell ref="D14:H14"/>
    <mergeCell ref="I14:J14"/>
    <mergeCell ref="K14:L14"/>
    <mergeCell ref="I15:J15"/>
    <mergeCell ref="K15:L15"/>
    <mergeCell ref="D15:E15"/>
    <mergeCell ref="D16:E16"/>
    <mergeCell ref="D17:E17"/>
    <mergeCell ref="D18:E18"/>
    <mergeCell ref="D20:F20"/>
    <mergeCell ref="E21:F21"/>
    <mergeCell ref="E22:F22"/>
    <mergeCell ref="D23:F23"/>
    <mergeCell ref="E24:F24"/>
    <mergeCell ref="G24:H24"/>
    <mergeCell ref="E25:F25"/>
    <mergeCell ref="G25:H25"/>
    <mergeCell ref="E26:F26"/>
    <mergeCell ref="G26:H26"/>
    <mergeCell ref="E44:F44"/>
    <mergeCell ref="D45:F45"/>
    <mergeCell ref="E46:F46"/>
    <mergeCell ref="E47:F47"/>
    <mergeCell ref="E48:F48"/>
    <mergeCell ref="F49:G49"/>
    <mergeCell ref="F30:G30"/>
    <mergeCell ref="D37:E37"/>
    <mergeCell ref="D38:E38"/>
    <mergeCell ref="D39:E39"/>
    <mergeCell ref="D40:E40"/>
    <mergeCell ref="D42:F42"/>
    <mergeCell ref="E43:F43"/>
  </mergeCells>
  <conditionalFormatting sqref="H31:I31 H50:I50">
    <cfRule type="expression" dxfId="0" priority="1">
      <formula>G31&lt;0</formula>
    </cfRule>
  </conditionalFormatting>
  <conditionalFormatting sqref="F31 F50">
    <cfRule type="expression" dxfId="0" priority="2">
      <formula>E31&lt;0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21.88"/>
    <col customWidth="1" min="3" max="3" width="8.0"/>
    <col customWidth="1" min="4" max="4" width="12.88"/>
    <col customWidth="1" min="5" max="5" width="17.38"/>
    <col customWidth="1" min="6" max="6" width="10.25"/>
    <col customWidth="1" min="7" max="7" width="15.0"/>
    <col customWidth="1" min="8" max="8" width="8.63"/>
    <col customWidth="1" min="9" max="9" width="14.13"/>
    <col customWidth="1" min="10" max="10" width="17.75"/>
    <col customWidth="1" min="11" max="11" width="19.38"/>
    <col customWidth="1" min="12" max="12" width="3.38"/>
    <col customWidth="1" min="13" max="13" width="8.75"/>
    <col customWidth="1" min="14" max="14" width="6.0"/>
    <col customWidth="1" min="15" max="15" width="7.13"/>
    <col customWidth="1" min="16" max="26" width="8.0"/>
  </cols>
  <sheetData>
    <row r="1" ht="12.75" customHeight="1">
      <c r="A1" s="1" t="s">
        <v>0</v>
      </c>
      <c r="B1" s="2" t="s">
        <v>1</v>
      </c>
      <c r="D1" s="4" t="s">
        <v>64</v>
      </c>
      <c r="E1" s="4">
        <v>1.0</v>
      </c>
      <c r="F1" s="4" t="s">
        <v>29</v>
      </c>
      <c r="G1" s="4">
        <v>1.0</v>
      </c>
    </row>
    <row r="2" ht="13.5" customHeight="1">
      <c r="A2" s="5"/>
      <c r="B2" s="6" t="s">
        <v>4</v>
      </c>
      <c r="D2" s="7" t="s">
        <v>65</v>
      </c>
    </row>
    <row r="3" ht="14.25" customHeight="1">
      <c r="A3" s="9" t="s">
        <v>6</v>
      </c>
      <c r="B3" s="10">
        <f>Plan1!B3</f>
        <v>4</v>
      </c>
    </row>
    <row r="4" ht="14.25" customHeight="1">
      <c r="A4" s="11" t="s">
        <v>7</v>
      </c>
      <c r="B4" s="12" t="str">
        <f>Plan1!B4</f>
        <v>GRS 80</v>
      </c>
      <c r="D4" s="108"/>
      <c r="E4" s="137" t="str">
        <f>IF(E8=1,"UTM",IF(E8=2,"LTM","RTM"))</f>
        <v>UTM</v>
      </c>
      <c r="F4" s="138"/>
      <c r="G4" s="110" t="s">
        <v>66</v>
      </c>
      <c r="H4" s="32"/>
      <c r="I4" s="32"/>
    </row>
    <row r="5" ht="13.5" customHeight="1">
      <c r="A5" s="15" t="s">
        <v>13</v>
      </c>
      <c r="B5" s="16">
        <f>Plan1!B5</f>
        <v>6378137</v>
      </c>
      <c r="D5" s="139" t="s">
        <v>67</v>
      </c>
      <c r="E5" s="140">
        <f>GEOUTM!C24</f>
        <v>192047.988</v>
      </c>
      <c r="F5" s="141" t="s">
        <v>68</v>
      </c>
      <c r="G5" s="142">
        <f>IF(E8=1,(E5-500000)/0.9996,(IF(E8=2,(E5-200000)/0.999995,(E5-400000)/0.999995)))</f>
        <v>-308075.2421</v>
      </c>
      <c r="H5" s="32"/>
      <c r="I5" s="34"/>
    </row>
    <row r="6" ht="13.5" customHeight="1">
      <c r="A6" s="22" t="s">
        <v>15</v>
      </c>
      <c r="B6" s="143">
        <f>Plan1!B6</f>
        <v>6356752.314</v>
      </c>
      <c r="D6" s="144" t="s">
        <v>69</v>
      </c>
      <c r="E6" s="145">
        <f>GEOUTM!C25</f>
        <v>8272082.95</v>
      </c>
      <c r="F6" s="146" t="s">
        <v>70</v>
      </c>
      <c r="G6" s="147">
        <f>IF(E8=1,IF(G7="s",(E6-10000000)/0.9996,E6/0.9996),IF(G7="s",(E6-5000000)/0.999995,E6/0.999995))</f>
        <v>-1728608.493</v>
      </c>
      <c r="H6" s="32"/>
      <c r="I6" s="148"/>
      <c r="J6" s="149"/>
    </row>
    <row r="7" ht="12.75" customHeight="1">
      <c r="F7" s="4" t="s">
        <v>71</v>
      </c>
      <c r="G7" s="150" t="str">
        <f>IF(E1=1,"s","n")</f>
        <v>s</v>
      </c>
    </row>
    <row r="8" ht="13.5" customHeight="1">
      <c r="A8" s="25" t="s">
        <v>72</v>
      </c>
      <c r="B8" s="26">
        <f>1/((B5-B6)/B5)</f>
        <v>298.2572221</v>
      </c>
      <c r="D8" s="3" t="s">
        <v>57</v>
      </c>
      <c r="E8" s="151">
        <v>1.0</v>
      </c>
      <c r="F8" s="3" t="s">
        <v>73</v>
      </c>
      <c r="G8" s="150">
        <f>IF(G1=1,-1*GEOUTM!C26,GEOUTM!C26)</f>
        <v>-45</v>
      </c>
      <c r="I8" s="152"/>
    </row>
    <row r="9" ht="13.5" customHeight="1">
      <c r="A9" s="3" t="s">
        <v>18</v>
      </c>
      <c r="B9" s="27">
        <f>(POWER(B5,2)-POWER(B6,2))/POWER(B6,2)</f>
        <v>0.006739496775</v>
      </c>
      <c r="E9" s="153"/>
      <c r="F9" s="110" t="s">
        <v>74</v>
      </c>
      <c r="I9" s="154"/>
      <c r="J9" s="155"/>
    </row>
    <row r="10" ht="13.5" customHeight="1">
      <c r="A10" s="3" t="s">
        <v>21</v>
      </c>
      <c r="B10" s="31">
        <f>POWER(B5,2)/B6</f>
        <v>6399593.626</v>
      </c>
      <c r="D10" s="3"/>
      <c r="E10" s="139" t="s">
        <v>75</v>
      </c>
      <c r="F10" s="156">
        <v>1.0</v>
      </c>
    </row>
    <row r="11" ht="12.75" customHeight="1">
      <c r="E11" s="120" t="s">
        <v>76</v>
      </c>
      <c r="F11" s="60">
        <v>2.0</v>
      </c>
    </row>
    <row r="12" ht="13.5" customHeight="1">
      <c r="E12" s="144" t="s">
        <v>77</v>
      </c>
      <c r="F12" s="86">
        <v>3.0</v>
      </c>
    </row>
    <row r="13" ht="13.5" customHeight="1">
      <c r="J13" s="157"/>
    </row>
    <row r="14" ht="13.5" customHeight="1">
      <c r="A14" s="3" t="s">
        <v>23</v>
      </c>
      <c r="B14" s="35">
        <f>1-(3/4)*B9*(1-(15/16)*B9*(1-(35/36)*B9*(1-(63/64)*B9*(1-(99/100)*B9))))</f>
        <v>0.9949771061</v>
      </c>
      <c r="D14" s="158"/>
      <c r="E14" s="137" t="s">
        <v>12</v>
      </c>
      <c r="F14" s="110" t="s">
        <v>78</v>
      </c>
      <c r="G14" s="159" t="s">
        <v>79</v>
      </c>
      <c r="J14" s="107" t="s">
        <v>51</v>
      </c>
    </row>
    <row r="15" ht="18.75" customHeight="1">
      <c r="A15" s="3" t="s">
        <v>27</v>
      </c>
      <c r="B15" s="35">
        <f>(3/4)*B9*(1-(25/16)*B9*(1-(77/60)*B9*(1-(837/704)*B9*(1-(2123/1860)*B9))))</f>
        <v>0.005001851767</v>
      </c>
      <c r="D15" s="160" t="s">
        <v>80</v>
      </c>
      <c r="E15" s="161">
        <f>G6/(B14*B10)</f>
        <v>-0.2714758224</v>
      </c>
      <c r="F15" s="156">
        <f>DEGREES(E15)</f>
        <v>-15.55441886</v>
      </c>
      <c r="G15" s="162"/>
      <c r="I15" s="4" t="s">
        <v>81</v>
      </c>
      <c r="J15" s="163">
        <f>B10*COS(E28)/SQRT(1+B9*COS(E28)^2)</f>
        <v>6143801.531</v>
      </c>
    </row>
    <row r="16" ht="12.75" customHeight="1">
      <c r="A16" s="3" t="s">
        <v>30</v>
      </c>
      <c r="B16" s="35">
        <f>(5/8)*B9*(1-(139/144)*B9*(1-(1087/1112)*B9*(1-(513427/521760)*B9)))</f>
        <v>0.004184962498</v>
      </c>
      <c r="D16" s="164"/>
      <c r="E16" s="21"/>
      <c r="F16" s="51"/>
      <c r="G16" s="162"/>
      <c r="I16" s="4" t="s">
        <v>82</v>
      </c>
      <c r="J16" s="165">
        <f>SIN(E28)/J15</f>
        <v>-0.00000004385072674</v>
      </c>
    </row>
    <row r="17" ht="12.75" customHeight="1">
      <c r="A17" s="3" t="s">
        <v>32</v>
      </c>
      <c r="B17" s="35">
        <f>(35/72)*POWER(B9,2)*(1-(125/64)*B9*(1-(221069/150000)*B9))</f>
        <v>0.00002179181543</v>
      </c>
      <c r="D17" s="120" t="s">
        <v>83</v>
      </c>
      <c r="E17" s="166">
        <f>$B$14*$B$10*E15-($B$15*$B$10*SIN(E15)*COS(E15)*(1+$B$16*POWER(SIN(E15),2)+$B$17*POWER(SIN(E15),4))+$B$18*POWER(SIN(E15),6))+$B$19*POWER(SIN(E15),8)</f>
        <v>-1720336.821</v>
      </c>
      <c r="F17" s="167"/>
      <c r="G17" s="162"/>
      <c r="I17" s="4" t="s">
        <v>84</v>
      </c>
      <c r="J17" s="165">
        <f>-SIN(E28)*(1-B9*COS(E28)^4-2*B9^2*COS(E28)^6)/(3*J15^3)</f>
        <v>0</v>
      </c>
    </row>
    <row r="18" ht="18.0" customHeight="1">
      <c r="A18" s="3" t="s">
        <v>34</v>
      </c>
      <c r="B18" s="35">
        <f>(105/256)*POWER(B9,3)*(1-(1179/400)*B9)</f>
        <v>0.0000001230602488</v>
      </c>
      <c r="D18" s="168" t="s">
        <v>85</v>
      </c>
      <c r="E18" s="14">
        <f>E15+(G6-E17)/(B14*B10)</f>
        <v>-0.2727748783</v>
      </c>
      <c r="F18" s="60">
        <f>DEGREES(E18)</f>
        <v>-15.62884928</v>
      </c>
      <c r="G18" s="169">
        <f>$G$6-E17</f>
        <v>-8271.672221</v>
      </c>
      <c r="I18" s="4" t="s">
        <v>86</v>
      </c>
      <c r="J18" s="165">
        <f>SIN(E28)*(3-COS(E28)^2)/(15*J15^5)</f>
        <v>0</v>
      </c>
    </row>
    <row r="19" ht="13.5" customHeight="1">
      <c r="A19" s="3" t="s">
        <v>35</v>
      </c>
      <c r="B19" s="35">
        <f>(231/640)*POWER(B9,4)</f>
        <v>0.0000000007446323251</v>
      </c>
      <c r="D19" s="120" t="s">
        <v>83</v>
      </c>
      <c r="E19" s="166">
        <f>$B$14*$B$10*E18-($B$15*$B$10*SIN(E18)*COS(E18)*(1+$B$16*POWER(SIN(E18),2)+$B$17*POWER(SIN(E18),4))+$B$18*POWER(SIN(E18),6))+$B$19*POWER(SIN(E18),8)</f>
        <v>-1728572.885</v>
      </c>
      <c r="F19" s="51"/>
      <c r="G19" s="162"/>
    </row>
    <row r="20" ht="18.75" customHeight="1">
      <c r="D20" s="168" t="s">
        <v>87</v>
      </c>
      <c r="E20" s="14">
        <f>E18+($G$6-E19)/($B$14*$B$10)</f>
        <v>-0.2727804706</v>
      </c>
      <c r="F20" s="60">
        <f>DEGREES(E20)</f>
        <v>-15.6291697</v>
      </c>
      <c r="G20" s="170">
        <f>$G$6-E19</f>
        <v>-35.608604</v>
      </c>
      <c r="I20" s="108"/>
      <c r="J20" s="110" t="s">
        <v>12</v>
      </c>
      <c r="K20" s="36" t="s">
        <v>8</v>
      </c>
      <c r="L20" s="36" t="s">
        <v>8</v>
      </c>
      <c r="M20" s="171"/>
      <c r="N20" s="137" t="s">
        <v>9</v>
      </c>
      <c r="O20" s="110" t="s">
        <v>10</v>
      </c>
    </row>
    <row r="21" ht="16.5" customHeight="1">
      <c r="A21" s="3" t="s">
        <v>88</v>
      </c>
      <c r="B21" s="172">
        <f>SQRT(POWER((1/COS(E28)),2)+B9)/B10</f>
        <v>0.0000001627656745</v>
      </c>
      <c r="D21" s="120" t="s">
        <v>83</v>
      </c>
      <c r="E21" s="166">
        <f>$B$14*$B$10*E20-($B$15*$B$10*SIN(E20)*COS(E20)*(1+$B$16*POWER(SIN(E20),2)+$B$17*POWER(SIN(E20),4))+$B$18*POWER(SIN(E20),6))+$B$19*POWER(SIN(E20),8)</f>
        <v>-1728608.34</v>
      </c>
      <c r="F21" s="51"/>
      <c r="G21" s="162"/>
      <c r="I21" s="111" t="s">
        <v>89</v>
      </c>
      <c r="J21" s="173">
        <f>J16*G5+(J17*POWER(G5,3)+J18*POWER(G5,5))</f>
        <v>0.01349807877</v>
      </c>
      <c r="K21" s="174">
        <f>180*J21/PI()</f>
        <v>0.7733829451</v>
      </c>
      <c r="L21" s="175" t="str">
        <f>IF(K21&lt;0,"-","+")</f>
        <v>+</v>
      </c>
      <c r="M21" s="176">
        <f>TRUNC(K21)</f>
        <v>0</v>
      </c>
      <c r="N21" s="115">
        <f>ABS(TRUNC((K21-M21)*60))</f>
        <v>46</v>
      </c>
      <c r="O21" s="177">
        <f>(ABS(K21-M21)*60-N21)*60</f>
        <v>24.17860237</v>
      </c>
    </row>
    <row r="22" ht="18.0" customHeight="1">
      <c r="A22" s="3" t="s">
        <v>90</v>
      </c>
      <c r="B22" s="172">
        <f>-POWER(B21,2)*SIN(E28)*COS(E28)*(1+B9*POWER(COS(E28),2))/2</f>
        <v>0</v>
      </c>
      <c r="D22" s="168" t="s">
        <v>91</v>
      </c>
      <c r="E22" s="14">
        <f>E20+($G$6-E21)/($B$14*$B$10)</f>
        <v>-0.2727804946</v>
      </c>
      <c r="F22" s="60">
        <f>DEGREES(E22)</f>
        <v>-15.62917107</v>
      </c>
      <c r="G22" s="170">
        <f>$G$6-E21</f>
        <v>-0.1531705761</v>
      </c>
      <c r="I22" s="4" t="s">
        <v>92</v>
      </c>
      <c r="J22" s="4">
        <f>B10/(1+B9*POWER(COS(E28),2))</f>
        <v>6359842.5</v>
      </c>
    </row>
    <row r="23" ht="12.75" customHeight="1">
      <c r="A23" s="3" t="s">
        <v>93</v>
      </c>
      <c r="B23" s="172">
        <f>-POWER(B21,3)*(2-POWER(COS(E28),2)+B9*POWER(COS(E28),4))/6</f>
        <v>0</v>
      </c>
      <c r="D23" s="120" t="s">
        <v>83</v>
      </c>
      <c r="E23" s="166">
        <f>$B$14*$B$10*E22-($B$15*$B$10*SIN(E22)*COS(E22)*(1+$B$16*POWER(SIN(E22),2)+$B$17*POWER(SIN(E22),4))+$B$18*POWER(SIN(E22),6))+$B$19*POWER(SIN(E22),8)</f>
        <v>-1728608.493</v>
      </c>
      <c r="F23" s="51"/>
      <c r="G23" s="162"/>
      <c r="I23" s="4" t="s">
        <v>94</v>
      </c>
      <c r="J23" s="4">
        <f>POWER(J22,-2)/2</f>
        <v>0</v>
      </c>
    </row>
    <row r="24" ht="18.0" customHeight="1">
      <c r="A24" s="3" t="s">
        <v>95</v>
      </c>
      <c r="B24" s="172">
        <f>-(B21*B21*B22/12)*(3+(2-9*B9)*POWER(COS(E28),2)+10*B9*POWER(COS(E28),4)-4*POWER(B9,2)*POWER(COS(E28),6))</f>
        <v>0</v>
      </c>
      <c r="D24" s="168" t="s">
        <v>96</v>
      </c>
      <c r="E24" s="14">
        <f>E22+($G$6-E23)/($B$14*$B$10)</f>
        <v>-0.2727804947</v>
      </c>
      <c r="F24" s="60">
        <f>DEGREES(E24)</f>
        <v>-15.62917108</v>
      </c>
      <c r="G24" s="170">
        <f>$G$6-E23</f>
        <v>-0.0006588618271</v>
      </c>
      <c r="I24" s="4" t="s">
        <v>97</v>
      </c>
      <c r="J24" s="4">
        <f>(1+4*B9*POWER(COS(E28),2))/(24*POWER(J22,4))</f>
        <v>0</v>
      </c>
    </row>
    <row r="25" ht="12.75" customHeight="1">
      <c r="A25" s="3" t="s">
        <v>98</v>
      </c>
      <c r="B25" s="172">
        <f>(POWER(B21,5)/120)*(24-20*POWER(COS(E28),2)+(1+8*B9)*POWER(COS(E28),2)-2*B9*POWER(COS(E28),6))</f>
        <v>0</v>
      </c>
      <c r="D25" s="120" t="s">
        <v>83</v>
      </c>
      <c r="E25" s="166">
        <f>$B$14*$B$10*E24-($B$15*$B$10*SIN(E24)*COS(E24)*(1+$B$16*POWER(SIN(E24),2)+$B$17*POWER(SIN(E24),4))+$B$18*POWER(SIN(E24),6))+$B$19*POWER(SIN(E24),8)</f>
        <v>-1728608.493</v>
      </c>
      <c r="F25" s="51"/>
      <c r="G25" s="162"/>
      <c r="I25" s="4" t="s">
        <v>99</v>
      </c>
      <c r="J25" s="4">
        <f>IF(E8=1,0.9996,0.999995)</f>
        <v>0.9996</v>
      </c>
    </row>
    <row r="26" ht="18.0" customHeight="1">
      <c r="A26" s="3" t="s">
        <v>100</v>
      </c>
      <c r="B26" s="172">
        <f>POWER(B21,4)*B22*(45+16*POWER(COS(E28),4))/360</f>
        <v>0</v>
      </c>
      <c r="D26" s="168" t="s">
        <v>101</v>
      </c>
      <c r="E26" s="14">
        <f>E24+($G$6-E25)/($B$14*$B$10)</f>
        <v>-0.2727804947</v>
      </c>
      <c r="F26" s="60">
        <f>DEGREES(E26)</f>
        <v>-15.62917108</v>
      </c>
      <c r="G26" s="170">
        <f>$G$6-E25</f>
        <v>-0.000002833781764</v>
      </c>
      <c r="I26" s="4" t="s">
        <v>102</v>
      </c>
      <c r="J26" s="4">
        <f>(1+J23*POWER(G5,2)+J24*POWER(G5,4))*J25</f>
        <v>1.000773017</v>
      </c>
    </row>
    <row r="27" ht="12.75" customHeight="1">
      <c r="D27" s="178" t="s">
        <v>83</v>
      </c>
      <c r="E27" s="179">
        <f>$B$14*$B$10*E26-($B$15*$B$10*SIN(E26)*COS(E26)*(1+$B$16*POWER(SIN(E26),2)+$B$17*POWER(SIN(E26),4))+$B$18*POWER(SIN(E26),6))+$B$19*POWER(SIN(E26),8)</f>
        <v>-1728608.493</v>
      </c>
      <c r="F27" s="180"/>
      <c r="G27" s="162"/>
    </row>
    <row r="28" ht="18.75" customHeight="1">
      <c r="D28" s="181" t="s">
        <v>103</v>
      </c>
      <c r="E28" s="182">
        <f>E26+($G$6-E27)/($B$14*$B$10)</f>
        <v>-0.2727804947</v>
      </c>
      <c r="F28" s="86">
        <f>DEGREES(E28)</f>
        <v>-15.62917108</v>
      </c>
      <c r="G28" s="183">
        <f>$G$6-E27</f>
        <v>-0.00000001234002411</v>
      </c>
    </row>
    <row r="29" ht="12.75" customHeight="1">
      <c r="A29" s="3"/>
      <c r="B29" s="34"/>
      <c r="D29" s="3"/>
      <c r="E29" s="184"/>
      <c r="F29" s="34"/>
      <c r="G29" s="34"/>
    </row>
    <row r="30" ht="18.0" customHeight="1">
      <c r="A30" s="3"/>
      <c r="B30" s="148"/>
      <c r="D30" s="185"/>
      <c r="E30" s="32"/>
      <c r="F30" s="32"/>
      <c r="G30" s="149"/>
    </row>
    <row r="31" ht="12.75" customHeight="1">
      <c r="A31" s="3"/>
      <c r="B31" s="148"/>
    </row>
    <row r="32" ht="13.5" customHeight="1">
      <c r="A32" s="186"/>
      <c r="B32" s="34"/>
    </row>
    <row r="33" ht="13.5" customHeight="1">
      <c r="A33" s="3"/>
      <c r="B33" s="75"/>
      <c r="D33" s="108"/>
      <c r="E33" s="110" t="s">
        <v>12</v>
      </c>
      <c r="F33" s="187" t="s">
        <v>8</v>
      </c>
      <c r="G33" s="188" t="s">
        <v>8</v>
      </c>
      <c r="H33" s="137" t="s">
        <v>9</v>
      </c>
      <c r="I33" s="110" t="s">
        <v>10</v>
      </c>
    </row>
    <row r="34" ht="18.75" customHeight="1">
      <c r="A34" s="3"/>
      <c r="B34" s="75"/>
      <c r="D34" s="160" t="s">
        <v>104</v>
      </c>
      <c r="E34" s="189">
        <f>E28+(B22*G5*G5+B24*POWER(G5,4)+B26*POWER(G5,6))</f>
        <v>-0.2724526068</v>
      </c>
      <c r="F34" s="190">
        <f>DEGREES(E34)</f>
        <v>-15.61038449</v>
      </c>
      <c r="G34" s="191">
        <f t="shared" ref="G34:G35" si="1">ABS(TRUNC(F34))</f>
        <v>15</v>
      </c>
      <c r="H34" s="192">
        <f t="shared" ref="H34:H35" si="2">ABS(TRUNC((F34-TRUNC(F34))*60))</f>
        <v>36</v>
      </c>
      <c r="I34" s="193">
        <f t="shared" ref="I34:I35" si="3">(ABS(F34-TRUNC(F34))*60-H34)*60</f>
        <v>37.38416336</v>
      </c>
    </row>
    <row r="35" ht="18.75" customHeight="1">
      <c r="A35" s="34"/>
      <c r="B35" s="34"/>
      <c r="D35" s="181" t="s">
        <v>105</v>
      </c>
      <c r="E35" s="194">
        <f>RADIANS(G8)+B21*G5+B23*POWER(G5,3)+B25*POWER(G5,5)</f>
        <v>-0.8355195939</v>
      </c>
      <c r="F35" s="87">
        <f>(DEGREES(E35))</f>
        <v>-47.87174643</v>
      </c>
      <c r="G35" s="195">
        <f t="shared" si="1"/>
        <v>47</v>
      </c>
      <c r="H35" s="196">
        <f t="shared" si="2"/>
        <v>52</v>
      </c>
      <c r="I35" s="197">
        <f t="shared" si="3"/>
        <v>18.28715907</v>
      </c>
    </row>
    <row r="36" ht="12.75" customHeight="1">
      <c r="A36" s="3"/>
      <c r="B36" s="198"/>
    </row>
    <row r="37" ht="12.75" customHeight="1">
      <c r="A37" s="3"/>
      <c r="B37" s="198"/>
    </row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D2:H2"/>
    <mergeCell ref="L20:M20"/>
  </mergeCells>
  <conditionalFormatting sqref="N21:O21">
    <cfRule type="expression" dxfId="0" priority="1">
      <formula>M21&lt;0</formula>
    </cfRule>
  </conditionalFormatting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4.13"/>
    <col customWidth="1" min="2" max="2" width="24.0"/>
    <col customWidth="1" min="3" max="3" width="13.63"/>
    <col customWidth="1" min="4" max="4" width="9.63"/>
    <col customWidth="1" min="5" max="6" width="8.0"/>
    <col customWidth="1" min="7" max="7" width="15.88"/>
    <col customWidth="1" min="8" max="8" width="14.38"/>
    <col customWidth="1" min="9" max="9" width="14.13"/>
    <col customWidth="1" min="10" max="10" width="8.0"/>
    <col customWidth="1" min="11" max="11" width="12.38"/>
    <col customWidth="1" min="12" max="26" width="8.0"/>
  </cols>
  <sheetData>
    <row r="1" ht="12.75" customHeight="1">
      <c r="A1" s="118" t="s">
        <v>56</v>
      </c>
      <c r="C1" s="3" t="s">
        <v>106</v>
      </c>
      <c r="D1" s="32">
        <v>2.0</v>
      </c>
      <c r="E1" s="4" t="s">
        <v>2</v>
      </c>
      <c r="F1" s="199">
        <v>1.0</v>
      </c>
      <c r="G1" s="4" t="s">
        <v>3</v>
      </c>
      <c r="H1" s="199">
        <v>1.0</v>
      </c>
    </row>
    <row r="2" ht="12.75" customHeight="1">
      <c r="A2" s="121">
        <f>Plan1!B34</f>
        <v>6378388</v>
      </c>
      <c r="C2" s="13"/>
      <c r="D2" s="14" t="s">
        <v>8</v>
      </c>
      <c r="E2" s="14" t="s">
        <v>9</v>
      </c>
      <c r="F2" s="14" t="s">
        <v>10</v>
      </c>
      <c r="G2" s="14" t="s">
        <v>11</v>
      </c>
      <c r="H2" s="14" t="s">
        <v>12</v>
      </c>
    </row>
    <row r="3" ht="12.75" customHeight="1">
      <c r="A3" s="121">
        <f>Plan1!B35</f>
        <v>6356911.946</v>
      </c>
      <c r="C3" s="17" t="s">
        <v>107</v>
      </c>
      <c r="D3" s="18">
        <f>ABS(GEOUTM!M14)</f>
        <v>15</v>
      </c>
      <c r="E3" s="19">
        <f>GEOUTM!N14</f>
        <v>51</v>
      </c>
      <c r="F3" s="20">
        <f>GEOUTM!O14</f>
        <v>3.36319448</v>
      </c>
      <c r="G3" s="24">
        <f>IF(F1=2,D3+(F3/3600+E3/60),-1*(D3+(F3/3600+E3/60)))</f>
        <v>-15.85093422</v>
      </c>
      <c r="H3" s="21">
        <f t="shared" ref="H3:H4" si="1">RADIANS(G3)</f>
        <v>-0.2766509917</v>
      </c>
    </row>
    <row r="4" ht="13.5" customHeight="1">
      <c r="A4" s="200">
        <f>(POWER(A2,2)-POWER(A3,2))/POWER(A2,2)</f>
        <v>0.006722670031</v>
      </c>
      <c r="C4" s="17" t="s">
        <v>108</v>
      </c>
      <c r="D4" s="18">
        <f>ABS(GEOUTM!M15)</f>
        <v>50</v>
      </c>
      <c r="E4" s="19">
        <f>GEOUTM!N15</f>
        <v>25</v>
      </c>
      <c r="F4" s="20">
        <f>GEOUTM!O15</f>
        <v>21.87740974</v>
      </c>
      <c r="G4" s="24">
        <f>IF(H1=2,D4+(F4/3600+E4/60),-1*(D4+(F4/3600+E4/60)))</f>
        <v>-50.42274372</v>
      </c>
      <c r="H4" s="21">
        <f t="shared" si="1"/>
        <v>-0.8800428959</v>
      </c>
    </row>
    <row r="5" ht="13.5" customHeight="1">
      <c r="A5" s="126" t="s">
        <v>109</v>
      </c>
      <c r="C5" s="17" t="s">
        <v>110</v>
      </c>
      <c r="D5" s="201">
        <f>GEOUTM!M16</f>
        <v>10.6587</v>
      </c>
      <c r="E5" s="30" t="s">
        <v>20</v>
      </c>
      <c r="F5" s="202"/>
      <c r="G5" s="202"/>
      <c r="H5" s="203"/>
    </row>
    <row r="6" ht="12.75" customHeight="1">
      <c r="A6" s="128">
        <f>Plan1!B37</f>
        <v>6378160</v>
      </c>
    </row>
    <row r="7" ht="12.75" customHeight="1">
      <c r="A7" s="204">
        <f>Plan1!B38</f>
        <v>6356774.719</v>
      </c>
    </row>
    <row r="8" ht="13.5" customHeight="1">
      <c r="A8" s="200">
        <f>(POWER(A6,2)-POWER(A7,2))/POWER(A6,2)</f>
        <v>0.006694541855</v>
      </c>
      <c r="B8" s="3" t="s">
        <v>37</v>
      </c>
      <c r="C8" s="33">
        <f>IF($D$1=1,A2,IF($D$1=2,A6,IF($D$1=3,A6,IF($D$1=4,A10,IF($D$1=5,A6,A14)))))</f>
        <v>6378160</v>
      </c>
      <c r="F8" s="3" t="s">
        <v>111</v>
      </c>
      <c r="G8" s="205">
        <f>C8/SQRT(1-C9*POWER(SIN(H3),2))</f>
        <v>6379753.329</v>
      </c>
    </row>
    <row r="9" ht="13.5" customHeight="1">
      <c r="A9" s="126" t="s">
        <v>112</v>
      </c>
      <c r="B9" s="3" t="s">
        <v>113</v>
      </c>
      <c r="C9" s="152">
        <f>IF($D$1=1,A4,IF($D$1=2,A8,IF($D$1=3,A8,IF($D$1=4,A12,IF($D$1=5,A8,A16)))))</f>
        <v>0.006694541855</v>
      </c>
      <c r="D9" s="25" t="s">
        <v>114</v>
      </c>
      <c r="E9" s="206">
        <f>IF(D1=1,-138.7,IF(D1=2,138.7,IF(D1=3,-66.87,IF(D1=4,66.87,IF(D1=5,-67.35,67.35)))))</f>
        <v>138.7</v>
      </c>
      <c r="F9" s="3" t="s">
        <v>115</v>
      </c>
      <c r="G9" s="33">
        <f>(G8+D5)*COS(H3)*COS(H4)</f>
        <v>3910106.48</v>
      </c>
      <c r="H9" s="3" t="s">
        <v>116</v>
      </c>
      <c r="I9" s="33">
        <f t="shared" ref="I9:I11" si="2">G9+E9</f>
        <v>3910245.18</v>
      </c>
      <c r="K9" s="4">
        <f t="shared" ref="K9:K10" si="3">I9*I9</f>
        <v>15290017364039</v>
      </c>
    </row>
    <row r="10" ht="12.75" customHeight="1">
      <c r="A10" s="129">
        <f>Plan1!B40</f>
        <v>6378137</v>
      </c>
      <c r="B10" s="3" t="s">
        <v>39</v>
      </c>
      <c r="C10" s="33">
        <f t="shared" ref="C10:C11" si="4">IF($D$1=1,A6,IF($D$1=2,A2,IF($D$1=3,A10,IF($D$1=4,A6,IF($D$1=5,A14,A6)))))</f>
        <v>6378388</v>
      </c>
      <c r="D10" s="25" t="s">
        <v>117</v>
      </c>
      <c r="E10" s="206">
        <f>IF(D1=1,164.4,IF(D1=2,-164.4,IF(D1=3,4.37,IF(D1=4,-4.37,IF(D1=5,3.88,-3.88)))))</f>
        <v>-164.4</v>
      </c>
      <c r="F10" s="3" t="s">
        <v>118</v>
      </c>
      <c r="G10" s="33">
        <f>(G8+D5)*COS(H3)*SIN(H4)</f>
        <v>-4730328.701</v>
      </c>
      <c r="H10" s="3" t="s">
        <v>119</v>
      </c>
      <c r="I10" s="33">
        <f t="shared" si="2"/>
        <v>-4730493.101</v>
      </c>
      <c r="K10" s="4">
        <f t="shared" si="3"/>
        <v>22377564975622</v>
      </c>
    </row>
    <row r="11" ht="12.75" customHeight="1">
      <c r="A11" s="207">
        <v>6356752.314245179</v>
      </c>
      <c r="B11" s="3" t="s">
        <v>90</v>
      </c>
      <c r="C11" s="33">
        <f t="shared" si="4"/>
        <v>6356911.946</v>
      </c>
      <c r="D11" s="25" t="s">
        <v>120</v>
      </c>
      <c r="E11" s="206">
        <f>IF(D1=1,34.4,IF(D1=2,-34.4,IF(D1=3,-38.52,IF(D1=4,38.52,IF(D1=5,-38.22,38.22)))))</f>
        <v>-34.4</v>
      </c>
      <c r="F11" s="3" t="s">
        <v>121</v>
      </c>
      <c r="G11" s="33">
        <f>(G8*(1-C9)+D5)*SIN(H3)</f>
        <v>-1730874.679</v>
      </c>
      <c r="H11" s="3" t="s">
        <v>122</v>
      </c>
      <c r="I11" s="33">
        <f t="shared" si="2"/>
        <v>-1730909.079</v>
      </c>
    </row>
    <row r="12" ht="13.5" customHeight="1">
      <c r="A12" s="200">
        <f>(POWER(A10,2)-POWER(A11,2))/POWER(A10,2)</f>
        <v>0.00669437999</v>
      </c>
      <c r="B12" s="3" t="s">
        <v>123</v>
      </c>
      <c r="C12" s="152">
        <f>(POWER(C10,2)-POWER(C11,2))/POWER(C10,2)</f>
        <v>0.006722670031</v>
      </c>
      <c r="F12" s="3" t="s">
        <v>124</v>
      </c>
      <c r="G12" s="4">
        <f>I11*C10/(SQRT(K9+K10)*C11)</f>
        <v>-0.2829795952</v>
      </c>
      <c r="H12" s="3" t="s">
        <v>125</v>
      </c>
      <c r="I12" s="205">
        <f>C10/SQRT(1-C12*POWER(SIN(G16),2))</f>
        <v>6379988.122</v>
      </c>
    </row>
    <row r="13" ht="13.5" customHeight="1">
      <c r="A13" s="208" t="s">
        <v>62</v>
      </c>
      <c r="B13" s="3" t="s">
        <v>126</v>
      </c>
      <c r="C13" s="152">
        <f>(POWER(C10,2)-POWER(C11,2))/POWER(C11,2)</f>
        <v>0.006768170206</v>
      </c>
      <c r="F13" s="3" t="s">
        <v>127</v>
      </c>
      <c r="G13" s="4">
        <f>G12/SQRT(1+POWER(G12,2))</f>
        <v>-0.2722874792</v>
      </c>
    </row>
    <row r="14" ht="13.5" customHeight="1">
      <c r="A14" s="209">
        <v>6378137.0</v>
      </c>
      <c r="F14" s="3" t="s">
        <v>128</v>
      </c>
      <c r="G14" s="4">
        <f>1/SQRT(1+POWER(G12,2))</f>
        <v>0.962215947</v>
      </c>
    </row>
    <row r="15" ht="13.5" customHeight="1">
      <c r="A15" s="210">
        <v>6356752.314140356</v>
      </c>
      <c r="F15" s="108"/>
      <c r="G15" s="110" t="s">
        <v>12</v>
      </c>
      <c r="H15" s="187" t="s">
        <v>8</v>
      </c>
      <c r="I15" s="188" t="s">
        <v>8</v>
      </c>
      <c r="J15" s="137" t="s">
        <v>9</v>
      </c>
      <c r="K15" s="110" t="s">
        <v>10</v>
      </c>
    </row>
    <row r="16" ht="14.25" customHeight="1">
      <c r="A16" s="211">
        <f>(POWER(A14,2)-POWER(A15,2))/POWER(A14,2)</f>
        <v>0.006694380023</v>
      </c>
      <c r="C16" s="4">
        <f>(C10^2-C11^2)/C10^2</f>
        <v>0.006722670031</v>
      </c>
      <c r="F16" s="212" t="s">
        <v>129</v>
      </c>
      <c r="G16" s="213">
        <f>ATAN((I11+(C13*C11*POWER(G13,3)))/(SQRT(K9+K10)-C12*C10*POWER(G14,3)))</f>
        <v>-0.2766544475</v>
      </c>
      <c r="H16" s="214">
        <f>DEGREES(G16)</f>
        <v>-15.85113222</v>
      </c>
      <c r="I16" s="191">
        <f t="shared" ref="I16:I17" si="5">TRUNC(H16)</f>
        <v>-15</v>
      </c>
      <c r="J16" s="192">
        <f t="shared" ref="J16:J17" si="6">ABS(TRUNC((H16-TRUNC(H16))*60))</f>
        <v>51</v>
      </c>
      <c r="K16" s="215">
        <f t="shared" ref="K16:K17" si="7">(ABS(H16-I16)*60-J16)*60</f>
        <v>4.07600193</v>
      </c>
    </row>
    <row r="17" ht="12.75" customHeight="1">
      <c r="B17" s="216"/>
      <c r="F17" s="217" t="s">
        <v>130</v>
      </c>
      <c r="G17" s="51">
        <f>ATAN(I10/I9)</f>
        <v>-0.8800425434</v>
      </c>
      <c r="H17" s="61">
        <f>(DEGREES(G17))</f>
        <v>-50.42272353</v>
      </c>
      <c r="I17" s="218">
        <f t="shared" si="5"/>
        <v>-50</v>
      </c>
      <c r="J17" s="219">
        <f t="shared" si="6"/>
        <v>25</v>
      </c>
      <c r="K17" s="220">
        <f t="shared" si="7"/>
        <v>21.80471383</v>
      </c>
    </row>
    <row r="18" ht="13.5" customHeight="1">
      <c r="A18" s="34"/>
      <c r="B18" s="155"/>
      <c r="F18" s="144" t="s">
        <v>131</v>
      </c>
      <c r="G18" s="221">
        <f>SQRT(K9+K10)/COS(G16)-I12</f>
        <v>5.709433623</v>
      </c>
      <c r="H18" s="222" t="s">
        <v>20</v>
      </c>
      <c r="I18" s="223"/>
      <c r="J18" s="224"/>
      <c r="K18" s="105"/>
    </row>
    <row r="19" ht="12.75" customHeight="1">
      <c r="A19" s="148"/>
    </row>
    <row r="20" ht="12.75" customHeight="1">
      <c r="A20" s="148"/>
    </row>
    <row r="21" ht="12.75" customHeight="1">
      <c r="A21" s="34"/>
      <c r="B21" s="225"/>
    </row>
    <row r="22" ht="12.75" customHeight="1">
      <c r="A22" s="75"/>
      <c r="B22" s="152"/>
    </row>
    <row r="23" ht="12.75" customHeight="1">
      <c r="A23" s="75"/>
    </row>
    <row r="24" ht="12.75" customHeight="1">
      <c r="A24" s="34"/>
    </row>
    <row r="25" ht="12.75" customHeight="1">
      <c r="A25" s="198"/>
    </row>
    <row r="26" ht="12.75" customHeight="1">
      <c r="A26" s="198"/>
    </row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4.88"/>
    <col customWidth="1" min="2" max="2" width="14.88"/>
    <col customWidth="1" min="3" max="3" width="4.63"/>
    <col customWidth="1" min="4" max="4" width="11.13"/>
    <col customWidth="1" min="5" max="5" width="6.38"/>
    <col customWidth="1" min="6" max="6" width="9.25"/>
    <col customWidth="1" min="7" max="7" width="8.75"/>
    <col customWidth="1" min="8" max="8" width="8.13"/>
    <col customWidth="1" min="9" max="9" width="16.13"/>
    <col customWidth="1" min="10" max="10" width="7.88"/>
    <col customWidth="1" min="11" max="11" width="8.75"/>
    <col customWidth="1" min="12" max="12" width="7.13"/>
    <col customWidth="1" min="13" max="13" width="3.75"/>
    <col customWidth="1" min="14" max="14" width="4.75"/>
    <col customWidth="1" min="15" max="15" width="9.63"/>
    <col customWidth="1" min="16" max="16" width="9.38"/>
    <col customWidth="1" min="17" max="17" width="5.13"/>
    <col customWidth="1" min="18" max="18" width="6.88"/>
    <col customWidth="1" min="19" max="26" width="8.0"/>
  </cols>
  <sheetData>
    <row r="1" ht="12.75" customHeight="1"/>
    <row r="2" ht="13.5" customHeight="1"/>
    <row r="3" ht="13.5" customHeight="1">
      <c r="B3" s="226" t="s">
        <v>132</v>
      </c>
      <c r="C3" s="227"/>
      <c r="D3" s="227"/>
      <c r="E3" s="227"/>
      <c r="F3" s="227"/>
      <c r="G3" s="227"/>
      <c r="H3" s="227"/>
      <c r="I3" s="227"/>
      <c r="J3" s="227"/>
      <c r="K3" s="228"/>
      <c r="L3" s="229" t="s">
        <v>133</v>
      </c>
      <c r="M3" s="230"/>
      <c r="N3" s="230"/>
      <c r="O3" s="230"/>
      <c r="P3" s="230"/>
      <c r="Q3" s="231"/>
      <c r="R3" s="232"/>
      <c r="S3" s="233"/>
      <c r="T3" s="34"/>
    </row>
    <row r="4" ht="12.75" customHeight="1">
      <c r="B4" s="234"/>
      <c r="C4" s="235"/>
      <c r="D4" s="235"/>
      <c r="E4" s="235"/>
      <c r="F4" s="235"/>
      <c r="G4" s="235"/>
      <c r="H4" s="235"/>
      <c r="I4" s="236"/>
      <c r="J4" s="237"/>
      <c r="K4" s="238"/>
      <c r="L4" s="239"/>
      <c r="M4" s="239"/>
      <c r="N4" s="239"/>
      <c r="O4" s="239"/>
      <c r="P4" s="239"/>
      <c r="Q4" s="2"/>
    </row>
    <row r="5" ht="12.75" customHeight="1">
      <c r="B5" s="234"/>
      <c r="C5" s="240" t="s">
        <v>134</v>
      </c>
      <c r="D5" s="241"/>
      <c r="E5" s="241"/>
      <c r="F5" s="241"/>
      <c r="G5" s="241"/>
      <c r="H5" s="242"/>
      <c r="I5" s="243"/>
      <c r="J5" s="244"/>
      <c r="K5" s="245"/>
      <c r="L5" s="32"/>
      <c r="M5" s="32"/>
      <c r="N5" s="32"/>
      <c r="O5" s="32"/>
      <c r="P5" s="32"/>
      <c r="Q5" s="246"/>
    </row>
    <row r="6" ht="12.75" customHeight="1">
      <c r="B6" s="234"/>
      <c r="C6" s="240" t="s">
        <v>135</v>
      </c>
      <c r="D6" s="241"/>
      <c r="E6" s="241"/>
      <c r="F6" s="241"/>
      <c r="G6" s="241"/>
      <c r="H6" s="242"/>
      <c r="I6" s="243"/>
      <c r="J6" s="244"/>
      <c r="K6" s="245"/>
      <c r="L6" s="247"/>
      <c r="M6" s="34"/>
      <c r="N6" s="34"/>
      <c r="O6" s="34"/>
      <c r="P6" s="34"/>
      <c r="Q6" s="44"/>
    </row>
    <row r="7" ht="12.75" customHeight="1">
      <c r="B7" s="234"/>
      <c r="C7" s="248" t="s">
        <v>136</v>
      </c>
      <c r="D7" s="241"/>
      <c r="E7" s="241"/>
      <c r="F7" s="241"/>
      <c r="G7" s="241"/>
      <c r="H7" s="242"/>
      <c r="I7" s="249"/>
      <c r="J7" s="250"/>
      <c r="K7" s="251"/>
      <c r="L7" s="247"/>
      <c r="M7" s="34"/>
      <c r="N7" s="34"/>
      <c r="O7" s="34"/>
      <c r="P7" s="34"/>
      <c r="Q7" s="44"/>
    </row>
    <row r="8" ht="13.5" customHeight="1">
      <c r="B8" s="252"/>
      <c r="C8" s="253"/>
      <c r="D8" s="253"/>
      <c r="E8" s="253"/>
      <c r="F8" s="235"/>
      <c r="G8" s="235"/>
      <c r="H8" s="235"/>
      <c r="I8" s="254"/>
      <c r="J8" s="255"/>
      <c r="K8" s="256"/>
      <c r="L8" s="247"/>
      <c r="M8" s="34"/>
      <c r="N8" s="34"/>
      <c r="O8" s="34"/>
      <c r="P8" s="34"/>
      <c r="Q8" s="44"/>
    </row>
    <row r="9" ht="12.75" customHeight="1">
      <c r="B9" s="257" t="s">
        <v>137</v>
      </c>
      <c r="C9" s="241"/>
      <c r="D9" s="241"/>
      <c r="E9" s="241"/>
      <c r="F9" s="241"/>
      <c r="G9" s="241"/>
      <c r="H9" s="242"/>
      <c r="I9" s="249"/>
      <c r="J9" s="250"/>
      <c r="K9" s="251"/>
      <c r="L9" s="247"/>
      <c r="M9" s="34"/>
      <c r="N9" s="34"/>
      <c r="O9" s="34"/>
      <c r="P9" s="34"/>
      <c r="Q9" s="44"/>
    </row>
    <row r="10" ht="13.5" customHeight="1">
      <c r="B10" s="257" t="s">
        <v>138</v>
      </c>
      <c r="C10" s="241"/>
      <c r="D10" s="241"/>
      <c r="E10" s="241"/>
      <c r="F10" s="241"/>
      <c r="G10" s="241"/>
      <c r="H10" s="242"/>
      <c r="I10" s="249"/>
      <c r="J10" s="233"/>
      <c r="K10" s="258"/>
      <c r="L10" s="247"/>
      <c r="M10" s="34"/>
      <c r="N10" s="34"/>
      <c r="O10" s="34"/>
      <c r="P10" s="34"/>
      <c r="Q10" s="44"/>
    </row>
    <row r="11" ht="16.5" customHeight="1">
      <c r="B11" s="259" t="s">
        <v>139</v>
      </c>
      <c r="C11" s="37"/>
      <c r="D11" s="37"/>
      <c r="E11" s="37"/>
      <c r="F11" s="37"/>
      <c r="G11" s="37"/>
      <c r="H11" s="38"/>
      <c r="I11" s="254"/>
      <c r="J11" s="104"/>
      <c r="K11" s="260"/>
      <c r="L11" s="261"/>
      <c r="M11" s="262"/>
      <c r="N11" s="262"/>
      <c r="O11" s="262"/>
      <c r="P11" s="262"/>
      <c r="Q11" s="6"/>
    </row>
    <row r="12" ht="13.5" customHeight="1">
      <c r="B12" s="263"/>
      <c r="C12" s="264"/>
      <c r="D12" s="265" t="s">
        <v>8</v>
      </c>
      <c r="E12" s="265" t="s">
        <v>140</v>
      </c>
      <c r="F12" s="265" t="s">
        <v>10</v>
      </c>
      <c r="G12" s="266" t="s">
        <v>141</v>
      </c>
      <c r="H12" s="264"/>
      <c r="I12" s="267" t="str">
        <f>IF(Plan2!$E$8=1,"UTM",IF(Plan2!$E$8=2,"LTM","RTM"))</f>
        <v>UTM</v>
      </c>
      <c r="J12" s="90"/>
      <c r="K12" s="92"/>
      <c r="L12" s="268" t="str">
        <f>IF(Plan3!$D$1=1,"Córrego Alegre",IF(Plan3!$D$1=2,"SAD 69",IF(Plan3!$D$1=3,"SAD 69",IF(Plan3!$D$1=4,"WGS 84",IF(Plan3!$D$1=5,"SAD 69","SIRGAS 2000")))))</f>
        <v>SAD 69</v>
      </c>
      <c r="M12" s="269"/>
      <c r="N12" s="269"/>
      <c r="O12" s="269"/>
      <c r="P12" s="269"/>
      <c r="Q12" s="270"/>
      <c r="R12" s="271"/>
    </row>
    <row r="13" ht="15.0" customHeight="1">
      <c r="B13" s="272" t="s">
        <v>142</v>
      </c>
      <c r="C13" s="273"/>
      <c r="D13" s="274">
        <v>15.0</v>
      </c>
      <c r="E13" s="274">
        <v>40.0</v>
      </c>
      <c r="F13" s="275">
        <v>42.08621</v>
      </c>
      <c r="G13" s="275"/>
      <c r="H13" s="276" t="s">
        <v>143</v>
      </c>
      <c r="I13" s="277">
        <f>IF(Plan2!E8=1,Plan1!E24,IF(Plan2!E8=2,Plan1!I24,Plan1!K24))</f>
        <v>202825.5699</v>
      </c>
      <c r="J13" s="278">
        <f>IF(Plan2!E8=1,Plan1!G24,IF(Plan2!E8=2,Plan1!J24,Plan1!L24))</f>
        <v>202825.5699</v>
      </c>
      <c r="K13" s="279"/>
      <c r="L13" s="263"/>
      <c r="M13" s="265" t="s">
        <v>8</v>
      </c>
      <c r="N13" s="265" t="s">
        <v>140</v>
      </c>
      <c r="O13" s="265" t="s">
        <v>10</v>
      </c>
      <c r="P13" s="280" t="s">
        <v>144</v>
      </c>
      <c r="Q13" s="281"/>
      <c r="R13" s="32"/>
    </row>
    <row r="14" ht="15.75" customHeight="1">
      <c r="B14" s="272" t="s">
        <v>145</v>
      </c>
      <c r="C14" s="273"/>
      <c r="D14" s="274">
        <v>47.0</v>
      </c>
      <c r="E14" s="274">
        <v>46.0</v>
      </c>
      <c r="F14" s="275">
        <v>20.01625</v>
      </c>
      <c r="G14" s="275"/>
      <c r="H14" s="276" t="s">
        <v>146</v>
      </c>
      <c r="I14" s="282">
        <f>IF(Plan2!E8=1,Plan1!E25,IF(Plan2!E8=2,Plan1!I25,Plan1!K25))</f>
        <v>8264698.505</v>
      </c>
      <c r="J14" s="283">
        <f>IF(Plan2!E8=1,Plan1!G25,IF(Plan2!E8=2,Plan1!J25,Plan1!L25))</f>
        <v>8264698.505</v>
      </c>
      <c r="K14" s="73"/>
      <c r="L14" s="284" t="s">
        <v>147</v>
      </c>
      <c r="M14" s="274">
        <v>15.0</v>
      </c>
      <c r="N14" s="274">
        <v>51.0</v>
      </c>
      <c r="O14" s="285">
        <v>3.36319448030423</v>
      </c>
      <c r="P14" s="275"/>
      <c r="Q14" s="286"/>
      <c r="R14" s="287"/>
    </row>
    <row r="15" ht="15.75" customHeight="1">
      <c r="B15" s="263"/>
      <c r="C15" s="264"/>
      <c r="D15" s="264"/>
      <c r="E15" s="264"/>
      <c r="F15" s="264"/>
      <c r="G15" s="264"/>
      <c r="H15" s="276" t="s">
        <v>28</v>
      </c>
      <c r="I15" s="288">
        <f>IF(Plan2!E8=1,Plan1!F15,IF(Plan2!E8=2,"-"," - "))</f>
        <v>23</v>
      </c>
      <c r="J15" s="289">
        <f>IF(Plan2!E8=1,Plan1!G15,IF(Plan2!E8=2,"-"," - "))</f>
        <v>23</v>
      </c>
      <c r="K15" s="73"/>
      <c r="L15" s="284" t="s">
        <v>148</v>
      </c>
      <c r="M15" s="290">
        <v>50.0</v>
      </c>
      <c r="N15" s="290">
        <v>25.0</v>
      </c>
      <c r="O15" s="291">
        <v>21.877409737567177</v>
      </c>
      <c r="P15" s="275"/>
      <c r="Q15" s="286"/>
      <c r="R15" s="292"/>
    </row>
    <row r="16" ht="15.0" customHeight="1">
      <c r="B16" s="263"/>
      <c r="C16" s="293" t="s">
        <v>149</v>
      </c>
      <c r="D16" s="294" t="s">
        <v>8</v>
      </c>
      <c r="E16" s="295" t="s">
        <v>140</v>
      </c>
      <c r="F16" s="295" t="s">
        <v>10</v>
      </c>
      <c r="G16" s="296"/>
      <c r="H16" s="297" t="s">
        <v>150</v>
      </c>
      <c r="I16" s="298">
        <f>IF(Plan2!E8=1,Plan1!F16,IF(Plan2!E8=2,Plan1!I16,Plan1!K16))</f>
        <v>-45</v>
      </c>
      <c r="J16" s="299">
        <f>IF(Plan2!E8=1,Plan1!G16,IF(Plan2!E8=2,Plan1!J16,Plan1!L16))</f>
        <v>-45</v>
      </c>
      <c r="K16" s="300"/>
      <c r="L16" s="301" t="s">
        <v>151</v>
      </c>
      <c r="M16" s="302">
        <v>10.6587</v>
      </c>
      <c r="N16" s="72"/>
      <c r="O16" s="50"/>
      <c r="P16" s="303"/>
      <c r="Q16" s="286"/>
      <c r="R16" s="292"/>
    </row>
    <row r="17" ht="16.5" customHeight="1">
      <c r="B17" s="304" t="s">
        <v>152</v>
      </c>
      <c r="C17" s="305" t="str">
        <f>Plan1!F31</f>
        <v>+</v>
      </c>
      <c r="D17" s="306">
        <f>ABS(Plan1!G31)</f>
        <v>0</v>
      </c>
      <c r="E17" s="307">
        <f>Plan1!H31</f>
        <v>44</v>
      </c>
      <c r="F17" s="308">
        <f>Plan1!I31</f>
        <v>58.95671743</v>
      </c>
      <c r="G17" s="309"/>
      <c r="H17" s="276" t="s">
        <v>102</v>
      </c>
      <c r="I17" s="310">
        <f>IF(Plan2!E8=1,Plan1!E26,IF(Plan2!E8=2,Plan1!I26,Plan1!K26))</f>
        <v>1.000692323</v>
      </c>
      <c r="J17" s="311"/>
      <c r="K17" s="312"/>
      <c r="L17" s="263"/>
      <c r="M17" s="264"/>
      <c r="N17" s="264"/>
      <c r="O17" s="264"/>
      <c r="P17" s="264"/>
      <c r="Q17" s="281"/>
      <c r="R17" s="292"/>
    </row>
    <row r="18" ht="13.5" customHeight="1">
      <c r="B18" s="313" t="s">
        <v>153</v>
      </c>
      <c r="C18" s="37"/>
      <c r="D18" s="37"/>
      <c r="E18" s="37"/>
      <c r="F18" s="37"/>
      <c r="G18" s="37"/>
      <c r="H18" s="37"/>
      <c r="I18" s="37"/>
      <c r="J18" s="37"/>
      <c r="K18" s="314"/>
      <c r="L18" s="263"/>
      <c r="M18" s="264"/>
      <c r="N18" s="264"/>
      <c r="O18" s="264"/>
      <c r="P18" s="264"/>
      <c r="Q18" s="286"/>
      <c r="R18" s="292"/>
    </row>
    <row r="19" ht="13.5" customHeight="1">
      <c r="B19" s="297" t="s">
        <v>28</v>
      </c>
      <c r="C19" s="315">
        <v>24.0</v>
      </c>
      <c r="D19" s="264"/>
      <c r="E19" s="264"/>
      <c r="F19" s="264"/>
      <c r="G19" s="264"/>
      <c r="H19" s="276" t="s">
        <v>143</v>
      </c>
      <c r="I19" s="316">
        <f>Plan1!E46</f>
        <v>-443211.9751</v>
      </c>
      <c r="J19" s="264"/>
      <c r="K19" s="281"/>
      <c r="L19" s="263"/>
      <c r="M19" s="264"/>
      <c r="N19" s="264"/>
      <c r="O19" s="264"/>
      <c r="P19" s="264"/>
      <c r="Q19" s="281"/>
      <c r="R19" s="292"/>
    </row>
    <row r="20" ht="12.75" customHeight="1">
      <c r="B20" s="297" t="s">
        <v>102</v>
      </c>
      <c r="C20" s="317">
        <f>Plan1!E48</f>
        <v>1.010621613</v>
      </c>
      <c r="D20" s="318"/>
      <c r="E20" s="319"/>
      <c r="F20" s="320"/>
      <c r="G20" s="321"/>
      <c r="H20" s="276" t="s">
        <v>146</v>
      </c>
      <c r="I20" s="322">
        <f>Plan1!E47</f>
        <v>8247018.886</v>
      </c>
      <c r="J20" s="264"/>
      <c r="K20" s="281"/>
      <c r="L20" s="263"/>
      <c r="M20" s="264"/>
      <c r="N20" s="264"/>
      <c r="O20" s="264"/>
      <c r="P20" s="264"/>
      <c r="Q20" s="281"/>
      <c r="R20" s="34"/>
    </row>
    <row r="21" ht="16.5" customHeight="1">
      <c r="B21" s="323" t="s">
        <v>154</v>
      </c>
      <c r="C21" s="305" t="str">
        <f>Plan1!F50</f>
        <v>+</v>
      </c>
      <c r="D21" s="324">
        <f>ABS(Plan1!G50)</f>
        <v>2</v>
      </c>
      <c r="E21" s="325">
        <f>Plan1!H50</f>
        <v>23</v>
      </c>
      <c r="F21" s="326">
        <f>Plan1!I50</f>
        <v>17.5739385</v>
      </c>
      <c r="G21" s="327"/>
      <c r="H21" s="297" t="s">
        <v>150</v>
      </c>
      <c r="I21" s="328">
        <f>Plan1!F38</f>
        <v>-39</v>
      </c>
      <c r="J21" s="329"/>
      <c r="K21" s="330"/>
      <c r="L21" s="263"/>
      <c r="M21" s="264"/>
      <c r="N21" s="264"/>
      <c r="O21" s="264"/>
      <c r="P21" s="264"/>
      <c r="Q21" s="281"/>
      <c r="R21" s="34"/>
    </row>
    <row r="22" ht="16.5" customHeight="1">
      <c r="B22" s="331" t="s">
        <v>155</v>
      </c>
      <c r="C22" s="90"/>
      <c r="D22" s="90"/>
      <c r="E22" s="90"/>
      <c r="F22" s="90"/>
      <c r="G22" s="90"/>
      <c r="H22" s="90"/>
      <c r="I22" s="332"/>
      <c r="J22" s="332"/>
      <c r="K22" s="333"/>
      <c r="L22" s="334" t="str">
        <f>IF(Plan3!$D$1=1,"SAD 69",IF(Plan3!$D$1=2,"Córrego Alegre",IF(Plan3!$D$1=3,"WGS 84",IF(Plan3!$D$1=4,"SAD 69",IF(Plan3!$D$1=5,"SIRGAS 2000","SAD 69")))))</f>
        <v>Córrego Alegre</v>
      </c>
      <c r="M22" s="37"/>
      <c r="N22" s="37"/>
      <c r="O22" s="37"/>
      <c r="P22" s="37"/>
      <c r="Q22" s="38"/>
      <c r="R22" s="34"/>
    </row>
    <row r="23" ht="13.5" customHeight="1">
      <c r="B23" s="263"/>
      <c r="C23" s="335" t="str">
        <f>IF(Plan2!$E$8=1,"UTM",IF(Plan2!$E$8=2,"LTM","RTM"))</f>
        <v>UTM</v>
      </c>
      <c r="D23" s="50"/>
      <c r="E23" s="336"/>
      <c r="F23" s="336"/>
      <c r="G23" s="336"/>
      <c r="H23" s="265" t="s">
        <v>8</v>
      </c>
      <c r="I23" s="295" t="s">
        <v>140</v>
      </c>
      <c r="J23" s="337" t="s">
        <v>10</v>
      </c>
      <c r="K23" s="338" t="s">
        <v>141</v>
      </c>
      <c r="L23" s="264"/>
      <c r="M23" s="265" t="s">
        <v>8</v>
      </c>
      <c r="N23" s="265" t="s">
        <v>140</v>
      </c>
      <c r="O23" s="265" t="s">
        <v>10</v>
      </c>
      <c r="P23" s="280" t="s">
        <v>144</v>
      </c>
      <c r="Q23" s="286"/>
    </row>
    <row r="24" ht="15.75" customHeight="1">
      <c r="B24" s="297" t="s">
        <v>143</v>
      </c>
      <c r="C24" s="339">
        <v>192047.988</v>
      </c>
      <c r="D24" s="50"/>
      <c r="E24" s="264"/>
      <c r="F24" s="264"/>
      <c r="G24" s="297" t="s">
        <v>156</v>
      </c>
      <c r="H24" s="288">
        <f>Plan2!G34</f>
        <v>15</v>
      </c>
      <c r="I24" s="288">
        <f>Plan2!H34</f>
        <v>36</v>
      </c>
      <c r="J24" s="340">
        <f>Plan2!I34</f>
        <v>37.38416336</v>
      </c>
      <c r="K24" s="341" t="str">
        <f>IF(Plan2!F34&lt;0,"Sul","Norte")</f>
        <v>Sul</v>
      </c>
      <c r="L24" s="342" t="s">
        <v>157</v>
      </c>
      <c r="M24" s="288">
        <f>ABS(Plan3!I16)</f>
        <v>15</v>
      </c>
      <c r="N24" s="288">
        <f>Plan3!J16</f>
        <v>51</v>
      </c>
      <c r="O24" s="343">
        <f>Plan3!K16</f>
        <v>4.07600193</v>
      </c>
      <c r="P24" s="344" t="str">
        <f>IF(Plan3!H16&lt;0,"Sul","Norte")</f>
        <v>Sul</v>
      </c>
      <c r="Q24" s="286"/>
    </row>
    <row r="25" ht="15.75" customHeight="1">
      <c r="B25" s="297" t="s">
        <v>146</v>
      </c>
      <c r="C25" s="339">
        <v>8272082.95</v>
      </c>
      <c r="D25" s="50"/>
      <c r="E25" s="264"/>
      <c r="F25" s="264"/>
      <c r="G25" s="297" t="s">
        <v>158</v>
      </c>
      <c r="H25" s="288">
        <f>Plan2!G35</f>
        <v>47</v>
      </c>
      <c r="I25" s="307">
        <f>Plan2!H35</f>
        <v>52</v>
      </c>
      <c r="J25" s="340">
        <f>Plan2!I35</f>
        <v>18.28715907</v>
      </c>
      <c r="K25" s="341" t="str">
        <f>IF(Plan2!F35&lt;0,"Oeste","Leste")</f>
        <v>Oeste</v>
      </c>
      <c r="L25" s="342" t="s">
        <v>159</v>
      </c>
      <c r="M25" s="307">
        <f>ABS(Plan3!I17)</f>
        <v>50</v>
      </c>
      <c r="N25" s="345">
        <f>Plan3!J17</f>
        <v>25</v>
      </c>
      <c r="O25" s="346">
        <f>Plan3!K17</f>
        <v>21.80471383</v>
      </c>
      <c r="P25" s="344" t="str">
        <f>IF(Plan3!H17&lt;0,"Oeste","Leste")</f>
        <v>Oeste</v>
      </c>
      <c r="Q25" s="286"/>
    </row>
    <row r="26" ht="15.0" customHeight="1">
      <c r="B26" s="297" t="s">
        <v>150</v>
      </c>
      <c r="C26" s="347">
        <v>45.0</v>
      </c>
      <c r="D26" s="290"/>
      <c r="E26" s="264"/>
      <c r="F26" s="264"/>
      <c r="G26" s="348" t="s">
        <v>28</v>
      </c>
      <c r="H26" s="349">
        <f>IF(Plan2!E8=1,IF(Plan2!G1=1,(-ABS(C26)+183)/6,(ABS(C26)+183)/6),"Esta projeção não usa fuso")</f>
        <v>23</v>
      </c>
      <c r="I26" s="50"/>
      <c r="J26" s="350"/>
      <c r="K26" s="351"/>
      <c r="L26" s="352" t="s">
        <v>151</v>
      </c>
      <c r="M26" s="353">
        <f>Plan3!G18</f>
        <v>5.709433623</v>
      </c>
      <c r="N26" s="72"/>
      <c r="O26" s="50"/>
      <c r="P26" s="354"/>
      <c r="Q26" s="286"/>
    </row>
    <row r="27" ht="15.75" customHeight="1">
      <c r="B27" s="297" t="s">
        <v>160</v>
      </c>
      <c r="C27" s="355"/>
      <c r="D27" s="356"/>
      <c r="E27" s="264"/>
      <c r="F27" s="264"/>
      <c r="G27" s="357" t="s">
        <v>161</v>
      </c>
      <c r="H27" s="358" t="str">
        <f>Plan2!L21</f>
        <v>+</v>
      </c>
      <c r="I27" s="359">
        <f>Plan2!M21</f>
        <v>0</v>
      </c>
      <c r="J27" s="360">
        <f>Plan2!N21</f>
        <v>46</v>
      </c>
      <c r="K27" s="361">
        <f>Plan2!O21</f>
        <v>24.17860237</v>
      </c>
      <c r="L27" s="264"/>
      <c r="M27" s="264"/>
      <c r="N27" s="264"/>
      <c r="O27" s="264"/>
      <c r="P27" s="264"/>
      <c r="Q27" s="286"/>
    </row>
    <row r="28" ht="13.5" customHeight="1">
      <c r="B28" s="362"/>
      <c r="C28" s="329"/>
      <c r="D28" s="329"/>
      <c r="E28" s="329"/>
      <c r="F28" s="329"/>
      <c r="G28" s="363" t="s">
        <v>102</v>
      </c>
      <c r="H28" s="364">
        <f>Plan2!J26</f>
        <v>1.000773017</v>
      </c>
      <c r="I28" s="365"/>
      <c r="J28" s="366"/>
      <c r="K28" s="367"/>
      <c r="L28" s="368"/>
      <c r="M28" s="264"/>
      <c r="N28" s="264"/>
      <c r="O28" s="264"/>
      <c r="P28" s="264"/>
      <c r="Q28" s="281"/>
    </row>
    <row r="29" ht="12.75" customHeight="1">
      <c r="B29" s="369" t="s">
        <v>162</v>
      </c>
      <c r="C29" s="370" t="s">
        <v>163</v>
      </c>
      <c r="D29" s="370"/>
      <c r="E29" s="370"/>
      <c r="F29" s="370"/>
      <c r="G29" s="370"/>
      <c r="H29" s="370"/>
      <c r="I29" s="370"/>
      <c r="J29" s="371"/>
      <c r="K29" s="372"/>
      <c r="L29" s="369" t="s">
        <v>164</v>
      </c>
      <c r="M29" s="373" t="s">
        <v>165</v>
      </c>
      <c r="N29" s="373"/>
      <c r="O29" s="373"/>
      <c r="P29" s="373"/>
      <c r="Q29" s="374"/>
    </row>
    <row r="30" ht="12.75" customHeight="1">
      <c r="B30" s="375"/>
      <c r="C30" s="371" t="s">
        <v>166</v>
      </c>
      <c r="D30" s="371"/>
      <c r="E30" s="371"/>
      <c r="F30" s="371"/>
      <c r="G30" s="371"/>
      <c r="H30" s="371"/>
      <c r="I30" s="371"/>
      <c r="J30" s="371"/>
      <c r="K30" s="372"/>
      <c r="L30" s="375"/>
      <c r="M30" s="376" t="s">
        <v>167</v>
      </c>
      <c r="N30" s="376"/>
      <c r="O30" s="376"/>
      <c r="P30" s="376"/>
      <c r="Q30" s="377"/>
    </row>
    <row r="31" ht="12.75" customHeight="1">
      <c r="B31" s="375"/>
      <c r="C31" s="371" t="s">
        <v>168</v>
      </c>
      <c r="D31" s="371"/>
      <c r="E31" s="371"/>
      <c r="F31" s="371"/>
      <c r="G31" s="371"/>
      <c r="H31" s="371"/>
      <c r="I31" s="371"/>
      <c r="J31" s="371"/>
      <c r="K31" s="372"/>
      <c r="L31" s="375"/>
      <c r="M31" s="376" t="s">
        <v>169</v>
      </c>
      <c r="N31" s="376"/>
      <c r="O31" s="376"/>
      <c r="P31" s="376"/>
      <c r="Q31" s="377"/>
    </row>
    <row r="32" ht="12.75" customHeight="1">
      <c r="B32" s="375"/>
      <c r="C32" s="371" t="s">
        <v>170</v>
      </c>
      <c r="D32" s="371"/>
      <c r="E32" s="371"/>
      <c r="F32" s="371"/>
      <c r="G32" s="371"/>
      <c r="H32" s="371"/>
      <c r="I32" s="371"/>
      <c r="J32" s="371"/>
      <c r="K32" s="372"/>
      <c r="L32" s="375"/>
      <c r="M32" s="376" t="s">
        <v>171</v>
      </c>
      <c r="N32" s="376"/>
      <c r="O32" s="376"/>
      <c r="P32" s="376"/>
      <c r="Q32" s="377"/>
    </row>
    <row r="33" ht="12.75" customHeight="1">
      <c r="B33" s="378"/>
      <c r="C33" s="379" t="s">
        <v>172</v>
      </c>
      <c r="D33" s="380"/>
      <c r="E33" s="380"/>
      <c r="F33" s="380"/>
      <c r="G33" s="380"/>
      <c r="H33" s="380"/>
      <c r="I33" s="380"/>
      <c r="J33" s="380"/>
      <c r="K33" s="381"/>
      <c r="L33" s="378"/>
      <c r="M33" s="371"/>
      <c r="N33" s="371"/>
      <c r="O33" s="371"/>
      <c r="P33" s="371"/>
      <c r="Q33" s="372"/>
    </row>
    <row r="34" ht="12.75" customHeight="1">
      <c r="B34" s="378"/>
      <c r="C34" s="379" t="s">
        <v>173</v>
      </c>
      <c r="D34" s="380"/>
      <c r="E34" s="380"/>
      <c r="F34" s="380"/>
      <c r="G34" s="380"/>
      <c r="H34" s="380"/>
      <c r="I34" s="380"/>
      <c r="J34" s="380"/>
      <c r="K34" s="381"/>
      <c r="L34" s="382"/>
      <c r="M34" s="383"/>
      <c r="N34" s="383"/>
      <c r="O34" s="383"/>
      <c r="P34" s="383"/>
      <c r="Q34" s="384"/>
    </row>
    <row r="35" ht="13.5" customHeight="1">
      <c r="B35" s="385" t="s">
        <v>174</v>
      </c>
      <c r="C35" s="386" t="s">
        <v>175</v>
      </c>
      <c r="D35" s="387"/>
      <c r="E35" s="387"/>
      <c r="F35" s="387"/>
      <c r="G35" s="387"/>
      <c r="H35" s="387"/>
      <c r="I35" s="387"/>
      <c r="J35" s="388"/>
      <c r="K35" s="389"/>
      <c r="L35" s="385" t="s">
        <v>174</v>
      </c>
      <c r="M35" s="388" t="s">
        <v>176</v>
      </c>
      <c r="N35" s="388"/>
      <c r="O35" s="388"/>
      <c r="P35" s="388"/>
      <c r="Q35" s="389"/>
    </row>
    <row r="36" ht="12.75" customHeight="1"/>
    <row r="37" ht="12.75" customHeight="1">
      <c r="K37" s="390"/>
    </row>
    <row r="38" ht="12.75" customHeight="1">
      <c r="D38" s="34"/>
      <c r="F38" s="34"/>
      <c r="G38" s="34"/>
    </row>
    <row r="39" ht="12.75" customHeight="1">
      <c r="D39" s="34"/>
      <c r="F39" s="391"/>
      <c r="G39" s="391"/>
    </row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7">
    <mergeCell ref="B3:K3"/>
    <mergeCell ref="L3:Q3"/>
    <mergeCell ref="C5:H5"/>
    <mergeCell ref="C6:H6"/>
    <mergeCell ref="C7:H7"/>
    <mergeCell ref="B9:H9"/>
    <mergeCell ref="B10:H10"/>
    <mergeCell ref="B11:H11"/>
    <mergeCell ref="I12:K12"/>
    <mergeCell ref="L12:Q12"/>
    <mergeCell ref="B13:C13"/>
    <mergeCell ref="J13:K13"/>
    <mergeCell ref="B14:C14"/>
    <mergeCell ref="J14:K14"/>
    <mergeCell ref="C23:D23"/>
    <mergeCell ref="C24:D24"/>
    <mergeCell ref="C25:D25"/>
    <mergeCell ref="H26:I26"/>
    <mergeCell ref="M26:O26"/>
    <mergeCell ref="H28:I28"/>
    <mergeCell ref="J15:K15"/>
    <mergeCell ref="J16:K16"/>
    <mergeCell ref="M16:O16"/>
    <mergeCell ref="B18:J18"/>
    <mergeCell ref="C20:D20"/>
    <mergeCell ref="B22:H22"/>
    <mergeCell ref="L22:Q22"/>
  </mergeCells>
  <conditionalFormatting sqref="D13 E13:G14 M14:P14 N15:P15">
    <cfRule type="expression" dxfId="1" priority="1">
      <formula>"g8 =1"</formula>
    </cfRule>
  </conditionalFormatting>
  <conditionalFormatting sqref="D12 H23 M13 M23">
    <cfRule type="cellIs" dxfId="1" priority="2" operator="equal">
      <formula>""" """</formula>
    </cfRule>
  </conditionalFormatting>
  <conditionalFormatting sqref="C21">
    <cfRule type="expression" dxfId="0" priority="3">
      <formula>B21&lt;0</formula>
    </cfRule>
  </conditionalFormatting>
  <dataValidations>
    <dataValidation type="decimal" allowBlank="1" showInputMessage="1" showErrorMessage="1" prompt=" - " sqref="D14 M15">
      <formula1>-180.0</formula1>
      <formula2>180.0</formula2>
    </dataValidation>
    <dataValidation type="decimal" allowBlank="1" showInputMessage="1" showErrorMessage="1" prompt=" - " sqref="E13:E14 N14:N15">
      <formula1>0.0</formula1>
      <formula2>59.0</formula2>
    </dataValidation>
    <dataValidation type="decimal" allowBlank="1" showInputMessage="1" showErrorMessage="1" prompt=" - " sqref="F13:G14 O14:P15">
      <formula1>0.0</formula1>
      <formula2>59.99999</formula2>
    </dataValidation>
    <dataValidation type="decimal" allowBlank="1" showInputMessage="1" showErrorMessage="1" prompt="Erro - A Latitude deve estar entre -90º e +90º." sqref="D13 M14">
      <formula1>-90.0</formula1>
      <formula2>90.0</formula2>
    </dataValidation>
  </dataValidations>
  <printOptions/>
  <pageMargins bottom="0.75" footer="0.0" header="0.0" left="0.7" right="0.7" top="0.75"/>
  <pageSetup orientation="landscape"/>
  <drawing r:id="rId1"/>
</worksheet>
</file>